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erenz" sheetId="1" state="visible" r:id="rId3"/>
    <sheet name="Start" sheetId="2" state="visible" r:id="rId4"/>
    <sheet name="Rechenweg" sheetId="3" state="visible" r:id="rId5"/>
    <sheet name="Mahlzeiten" sheetId="4" state="visible" r:id="rId6"/>
    <sheet name="Lebensmittel" sheetId="5" state="visible" r:id="rId7"/>
    <sheet name="Tracker" sheetId="6" state="visible" r:id="rId8"/>
    <sheet name="Kalibrierung" sheetId="7" state="visible" r:id="rId9"/>
    <sheet name="intaq.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6" authorId="0">
      <text>
        <r>
          <rPr>
            <sz val="10"/>
            <rFont val="Arial"/>
            <family val="2"/>
          </rPr>
          <t xml:space="preserve">Der Deckel verhindert, dass sich mehrere kleine Effekte zu einem unrealistischen Gesamtfaktor aufaddieren. Quelle: intaq.de/so-rechnet-intaq</t>
        </r>
      </text>
    </comment>
    <comment ref="A35" authorId="0">
      <text>
        <r>
          <rPr>
            <sz val="10"/>
            <rFont val="Arial"/>
            <family val="2"/>
          </rPr>
          <t xml:space="preserve">Der Verdauungsaufschlag hängt von den Makros ab, die Makros vom Kalorienziel — das wäre in Excel ein Zirkelbezug. Die Gleichung ist deshalb algebraisch aufgelöst:
TEF = 0,25·P + 0,02·F + 0,06·KH   und   KH = Ziel − P − F
→ TEF = 0,19·P − 0,04·F + 0,06·Ziel
Ziel = (1+g)·(Basis + TEF)
→ Ziel = (1+g)·(Basis + 0,19·P − 0,04·F) / (1 − 0,06·(1+g))
Ergebnis identisch zur iterativen Lösung, ohne Zirkelbezug.</t>
        </r>
      </text>
    </comment>
  </commentList>
</comments>
</file>

<file path=xl/sharedStrings.xml><?xml version="1.0" encoding="utf-8"?>
<sst xmlns="http://schemas.openxmlformats.org/spreadsheetml/2006/main" count="282" uniqueCount="257">
  <si>
    <t xml:space="preserve">Referenztabellen</t>
  </si>
  <si>
    <t xml:space="preserve">Grundlage aller Berechnungen. Bitte nicht verändern.</t>
  </si>
  <si>
    <t xml:space="preserve">Alltagsaktivität</t>
  </si>
  <si>
    <t xml:space="preserve">Trainingsart (MET)</t>
  </si>
  <si>
    <t xml:space="preserve">Schilddrüse (Delta)</t>
  </si>
  <si>
    <t xml:space="preserve">Tempo (Zielfaktor)</t>
  </si>
  <si>
    <t xml:space="preserve">Sitzend, kaum Bewegung</t>
  </si>
  <si>
    <t xml:space="preserve">Krafttraining</t>
  </si>
  <si>
    <t xml:space="preserve">normal / unbekannt</t>
  </si>
  <si>
    <t xml:space="preserve">moderat</t>
  </si>
  <si>
    <t xml:space="preserve">Überwiegend sitzend, etwas Bewegung</t>
  </si>
  <si>
    <t xml:space="preserve">Kraft und Cardio gemischt</t>
  </si>
  <si>
    <t xml:space="preserve">Unterfunktion (behandelt)</t>
  </si>
  <si>
    <t xml:space="preserve">standard</t>
  </si>
  <si>
    <t xml:space="preserve">Teils stehend und gehend</t>
  </si>
  <si>
    <t xml:space="preserve">Cardio moderat</t>
  </si>
  <si>
    <t xml:space="preserve">Unterfunktion (unbehandelt)</t>
  </si>
  <si>
    <t xml:space="preserve">ambitioniert</t>
  </si>
  <si>
    <t xml:space="preserve">Überwiegend stehend und gehend</t>
  </si>
  <si>
    <t xml:space="preserve">HIIT / sehr intensiv</t>
  </si>
  <si>
    <t xml:space="preserve">Überfunktion</t>
  </si>
  <si>
    <t xml:space="preserve">Körperlich schwere Arbeit</t>
  </si>
  <si>
    <t xml:space="preserve">Quellen und Annahmen</t>
  </si>
  <si>
    <t xml:space="preserve">·  Mifflin-St-Jeor (1990): am besten validierte Formel für die Allgemeinbevölkerung.</t>
  </si>
  <si>
    <t xml:space="preserve">·  Katch-McArdle: 370 + 21,6 × fettfreie Masse — genutzt, wenn ein Körperfettanteil vorliegt.</t>
  </si>
  <si>
    <t xml:space="preserve">·  Cunningham (1980): 500 + 22 × fettfreie Masse — genauer bei Trainierten mit DEXA-Wert.</t>
  </si>
  <si>
    <t xml:space="preserve">·  Ruhe-Faktoren gemeinsam gedeckelt auf 0,80–1,30, damit sich Einzeleffekte nicht aufschaukeln.</t>
  </si>
  <si>
    <t xml:space="preserve">·  Trainingskalorien: MET × 3,5 × kg ÷ 200 × Minuten, verteilt auf 7 Tage.</t>
  </si>
  <si>
    <t xml:space="preserve">·  Thermischer Effekt: Protein 25 %, Kohlenhydrate 6 %, Fett 2 % — aus der Makroverteilung abgeleitet.</t>
  </si>
  <si>
    <t xml:space="preserve">·  Energiegehalt Körpergewebe: 7.700 kcal je kg (Kalibrierung).</t>
  </si>
  <si>
    <t xml:space="preserve">·  Nach dem Prinzip von intaq.de/so-rechnet-intaq: Schlaf, Stress und Tageszeit verändern das Ziel bewusst NICHT.</t>
  </si>
  <si>
    <t xml:space="preserve">intaq.de/early-access  ·  Orientierungswerte, keine medizinische Beratung.</t>
  </si>
  <si>
    <t xml:space="preserve">intaq.  ·  Ernährungsplan Muskelaufbau</t>
  </si>
  <si>
    <t xml:space="preserve">Set your goal — we'll do the math.</t>
  </si>
  <si>
    <t xml:space="preserve">LEGENDE:  Nur die gelb hinterlegten Zellen ausfüllen. Alles andere rechnet sich automatisch. Die Werte unten sind Beispielwerte — bitte mit deinen eigenen überschreiben.</t>
  </si>
  <si>
    <t xml:space="preserve">1 · PFLICHTANGABEN</t>
  </si>
  <si>
    <t xml:space="preserve">Geschlecht</t>
  </si>
  <si>
    <t xml:space="preserve">männlich</t>
  </si>
  <si>
    <t xml:space="preserve">männlich oder weiblich</t>
  </si>
  <si>
    <t xml:space="preserve">Alter (Jahre)</t>
  </si>
  <si>
    <t xml:space="preserve">in vollen Jahren</t>
  </si>
  <si>
    <t xml:space="preserve">Körpergewicht (kg)</t>
  </si>
  <si>
    <t xml:space="preserve">morgens, nüchtern gewogen</t>
  </si>
  <si>
    <t xml:space="preserve">Körpergröße (cm)</t>
  </si>
  <si>
    <t xml:space="preserve">ohne Schuhe</t>
  </si>
  <si>
    <t xml:space="preserve">2 · OPTIONAL — macht die Rechnung genauer</t>
  </si>
  <si>
    <t xml:space="preserve">Körperfettanteil (%)</t>
  </si>
  <si>
    <t xml:space="preserve">z. B. aus Caliper oder Waage · leer lassen, wenn unbekannt</t>
  </si>
  <si>
    <t xml:space="preserve">Fettfreie Masse (kg)</t>
  </si>
  <si>
    <t xml:space="preserve">aus DEXA-Scan · schlägt den Körperfettanteil</t>
  </si>
  <si>
    <t xml:space="preserve">Gemessener Ruheumsatz (kcal)</t>
  </si>
  <si>
    <t xml:space="preserve">aus Kalorimetrie · ersetzt jede Formel</t>
  </si>
  <si>
    <t xml:space="preserve">3 · AKTIVITÄT</t>
  </si>
  <si>
    <t xml:space="preserve">Alltagsaktivität (ohne Training)</t>
  </si>
  <si>
    <t xml:space="preserve">Beruf und Alltag — Training zählt separat</t>
  </si>
  <si>
    <t xml:space="preserve">Trainingseinheiten pro Woche</t>
  </si>
  <si>
    <t xml:space="preserve">Ø Dauer je Einheit (Minuten)</t>
  </si>
  <si>
    <t xml:space="preserve">reine Trainingszeit ohne Pausen davor/danach</t>
  </si>
  <si>
    <t xml:space="preserve">Trainingsart</t>
  </si>
  <si>
    <t xml:space="preserve">4 · WEITERE FAKTOREN (optional)</t>
  </si>
  <si>
    <t xml:space="preserve">Schilddrüse</t>
  </si>
  <si>
    <t xml:space="preserve">nur ausfüllen, wenn ärztlich bekannt</t>
  </si>
  <si>
    <t xml:space="preserve">Koffein (mg pro Tag)</t>
  </si>
  <si>
    <t xml:space="preserve">1 Tasse Kaffee ≈ 90 mg · Wirkung gedeckelt</t>
  </si>
  <si>
    <t xml:space="preserve">Nikotin</t>
  </si>
  <si>
    <t xml:space="preserve">nein</t>
  </si>
  <si>
    <t xml:space="preserve">5 · DEIN ZIEL</t>
  </si>
  <si>
    <t xml:space="preserve">Tempo</t>
  </si>
  <si>
    <t xml:space="preserve">moderat baut am saubersten auf, ambitioniert bringt mehr Fett mit</t>
  </si>
  <si>
    <t xml:space="preserve">DEIN ERGEBNIS</t>
  </si>
  <si>
    <t xml:space="preserve">Kalorienziel</t>
  </si>
  <si>
    <t xml:space="preserve">Realistische Spanne</t>
  </si>
  <si>
    <t xml:space="preserve">Verwendete Methode</t>
  </si>
  <si>
    <t xml:space="preserve">Dein Erhaltungsbedarf</t>
  </si>
  <si>
    <t xml:space="preserve">Protein</t>
  </si>
  <si>
    <t xml:space="preserve">Fett</t>
  </si>
  <si>
    <t xml:space="preserve">Kohlenhydrate</t>
  </si>
  <si>
    <t xml:space="preserve">Nächste Schritte:  Blatt „Mahlzeiten“ verteilt dein Ziel auf den Tag  ·  Blatt „Tracker“ zeigt deinen 7-Tage-Trend  ·  Blatt „Kalibrierung“ rechnet nach 14 Tagen deinen echten Bedarf zurück.</t>
  </si>
  <si>
    <t xml:space="preserve">Der Rechenweg, Schritt für Schritt</t>
  </si>
  <si>
    <t xml:space="preserve">Nachvollziehbar wie bei intaq.de/so-rechnet-intaq — jeder Faktor wirkt auf der richtigen Ebene.</t>
  </si>
  <si>
    <t xml:space="preserve">SCHRITT 1 · Grundumsatz — vier Wege, der genaueste gewinnt</t>
  </si>
  <si>
    <t xml:space="preserve">Mifflin-St-Jeor</t>
  </si>
  <si>
    <t xml:space="preserve">Basis — braucht nur die vier Pflichtangaben</t>
  </si>
  <si>
    <t xml:space="preserve">Katch-McArdle</t>
  </si>
  <si>
    <t xml:space="preserve">greift bei bekanntem Körperfettanteil</t>
  </si>
  <si>
    <t xml:space="preserve">Cunningham</t>
  </si>
  <si>
    <t xml:space="preserve">greift bei bekannter fettfreier Masse (DEXA)</t>
  </si>
  <si>
    <t xml:space="preserve">Gemessener Ruheumsatz</t>
  </si>
  <si>
    <t xml:space="preserve">schlägt jede Formel</t>
  </si>
  <si>
    <t xml:space="preserve">→  Verwendeter Grundumsatz</t>
  </si>
  <si>
    <t xml:space="preserve">Methode</t>
  </si>
  <si>
    <t xml:space="preserve">SCHRITT 2 · Ruhe-Faktoren — wirken auf den Ruheumsatz, nicht auf den Tagesbedarf</t>
  </si>
  <si>
    <t xml:space="preserve">Delta Schilddrüse</t>
  </si>
  <si>
    <t xml:space="preserve">Delta Koffein</t>
  </si>
  <si>
    <t xml:space="preserve">Delta Nikotin</t>
  </si>
  <si>
    <t xml:space="preserve">Ruhefaktor (gedeckelt 0,80 – 1,30)</t>
  </si>
  <si>
    <t xml:space="preserve">Angepasster Ruheumsatz</t>
  </si>
  <si>
    <t xml:space="preserve">SCHRITT 3 · Alltagsaktivität — ohne Training</t>
  </si>
  <si>
    <t xml:space="preserve">PAL-Faktor</t>
  </si>
  <si>
    <t xml:space="preserve">Umsatz inkl. Alltag</t>
  </si>
  <si>
    <t xml:space="preserve">SCHRITT 4 · Feste Energiekosten — als Kalorien addiert, nicht multipliziert</t>
  </si>
  <si>
    <t xml:space="preserve">MET-Wert der Trainingsart</t>
  </si>
  <si>
    <t xml:space="preserve">kcal je Trainingseinheit</t>
  </si>
  <si>
    <t xml:space="preserve">kcal pro Tag aus Training</t>
  </si>
  <si>
    <t xml:space="preserve">340 kcal Mehrbedarf sind 340 kcal — unabhängig von der Körpergröße</t>
  </si>
  <si>
    <t xml:space="preserve">Basisumsatz vor Verdauung</t>
  </si>
  <si>
    <t xml:space="preserve">SCHRITT 5 + 6 · Verdauung und Ziel</t>
  </si>
  <si>
    <t xml:space="preserve">Protein (g)</t>
  </si>
  <si>
    <t xml:space="preserve">bei bekannter Körperzusammensetzung auf die fettfreie Masse bezogen</t>
  </si>
  <si>
    <t xml:space="preserve">Protein (kcal)</t>
  </si>
  <si>
    <t xml:space="preserve">Fett (g)</t>
  </si>
  <si>
    <t xml:space="preserve">Untergrenze für den Hormonhaushalt</t>
  </si>
  <si>
    <t xml:space="preserve">Fett (kcal)</t>
  </si>
  <si>
    <t xml:space="preserve">Zielfaktor</t>
  </si>
  <si>
    <t xml:space="preserve">prozentual statt fester Betrag — passt sich deiner Körpergröße an</t>
  </si>
  <si>
    <t xml:space="preserve">Zielwert (rechnerisch)</t>
  </si>
  <si>
    <t xml:space="preserve">Untergrenze</t>
  </si>
  <si>
    <t xml:space="preserve">dein eigener Ruheumsatz, mindestens aber der absolute Sicherheitswert</t>
  </si>
  <si>
    <t xml:space="preserve">→  Kalorienziel</t>
  </si>
  <si>
    <t xml:space="preserve">Erhaltungsbedarf</t>
  </si>
  <si>
    <t xml:space="preserve">was du bräuchtest, um das Gewicht zu halten</t>
  </si>
  <si>
    <t xml:space="preserve">SCHRITT 7 · Makros</t>
  </si>
  <si>
    <t xml:space="preserve">Kohlenhydrate (g)</t>
  </si>
  <si>
    <t xml:space="preserve">Thermischer Effekt (kcal)</t>
  </si>
  <si>
    <t xml:space="preserve">aus deiner Makroverteilung abgeleitet, nicht pauschal 10 %</t>
  </si>
  <si>
    <t xml:space="preserve">Kontrolle: Summe der Makros</t>
  </si>
  <si>
    <t xml:space="preserve">muss dem Kalorienziel entsprechen</t>
  </si>
  <si>
    <t xml:space="preserve">PRÄZISION · Konfidenz statt Fortschrittsbalken</t>
  </si>
  <si>
    <t xml:space="preserve">Unsicherheit</t>
  </si>
  <si>
    <t xml:space="preserve">sinkt mit jeder validen Angabe — und am stärksten durch die Kalibrierung</t>
  </si>
  <si>
    <t xml:space="preserve">Untere Grenze</t>
  </si>
  <si>
    <t xml:space="preserve">Obere Grenze</t>
  </si>
  <si>
    <t xml:space="preserve">Verteilung auf den Tag</t>
  </si>
  <si>
    <t xml:space="preserve">Die Anteile frei anpassen — die Summe muss 100 % ergeben.</t>
  </si>
  <si>
    <t xml:space="preserve">Mahlzeit</t>
  </si>
  <si>
    <t xml:space="preserve">Anteil</t>
  </si>
  <si>
    <t xml:space="preserve">kcal</t>
  </si>
  <si>
    <t xml:space="preserve">Protein g</t>
  </si>
  <si>
    <t xml:space="preserve">Fett g</t>
  </si>
  <si>
    <t xml:space="preserve">KH g</t>
  </si>
  <si>
    <t xml:space="preserve">Frühstück</t>
  </si>
  <si>
    <t xml:space="preserve">Mittagessen</t>
  </si>
  <si>
    <t xml:space="preserve">Snack</t>
  </si>
  <si>
    <t xml:space="preserve">Abendessen</t>
  </si>
  <si>
    <t xml:space="preserve">Pre-Workout</t>
  </si>
  <si>
    <t xml:space="preserve">Post-Workout</t>
  </si>
  <si>
    <t xml:space="preserve">Summe</t>
  </si>
  <si>
    <t xml:space="preserve">Tipp: Protein möglichst gleichmäßig über 3–5 Mahlzeiten verteilen. Für den Muskelaufbau ist die Gesamtmenge am Tag entscheidend, das genaue Timing spielt eine kleinere Rolle.</t>
  </si>
  <si>
    <t xml:space="preserve">Lebensmittel-Baukasten</t>
  </si>
  <si>
    <t xml:space="preserve">Nährwerte je 100 g. Unten deinen Tag zusammenstellen.</t>
  </si>
  <si>
    <t xml:space="preserve">Lebensmittel</t>
  </si>
  <si>
    <t xml:space="preserve">Hähnchenbrust, roh</t>
  </si>
  <si>
    <t xml:space="preserve">Putenbrust, roh</t>
  </si>
  <si>
    <t xml:space="preserve">Rinderhack 5 % Fett</t>
  </si>
  <si>
    <t xml:space="preserve">Schweinefilet</t>
  </si>
  <si>
    <t xml:space="preserve">Lachsfilet</t>
  </si>
  <si>
    <t xml:space="preserve">Kabeljau</t>
  </si>
  <si>
    <t xml:space="preserve">Thunfisch in Wasser</t>
  </si>
  <si>
    <t xml:space="preserve">Garnelen</t>
  </si>
  <si>
    <t xml:space="preserve">Magerquark</t>
  </si>
  <si>
    <t xml:space="preserve">Skyr natur</t>
  </si>
  <si>
    <t xml:space="preserve">Hüttenkäse</t>
  </si>
  <si>
    <t xml:space="preserve">Griechischer Joghurt 2 %</t>
  </si>
  <si>
    <t xml:space="preserve">Harzer Käse</t>
  </si>
  <si>
    <t xml:space="preserve">Gouda 30 %</t>
  </si>
  <si>
    <t xml:space="preserve">Ei, ganz</t>
  </si>
  <si>
    <t xml:space="preserve">Eiklar</t>
  </si>
  <si>
    <t xml:space="preserve">Whey-Protein Pulver</t>
  </si>
  <si>
    <t xml:space="preserve">Magermilch 0,3 %</t>
  </si>
  <si>
    <t xml:space="preserve">Tofu natur</t>
  </si>
  <si>
    <t xml:space="preserve">Linsen, getrocknet</t>
  </si>
  <si>
    <t xml:space="preserve">Kichererbsen, getrocknet</t>
  </si>
  <si>
    <t xml:space="preserve">Kidneybohnen, Dose</t>
  </si>
  <si>
    <t xml:space="preserve">Haferflocken</t>
  </si>
  <si>
    <t xml:space="preserve">Reis, weiß, roh</t>
  </si>
  <si>
    <t xml:space="preserve">Basmatireis, roh</t>
  </si>
  <si>
    <t xml:space="preserve">Vollkornnudeln, roh</t>
  </si>
  <si>
    <t xml:space="preserve">Nudeln, roh</t>
  </si>
  <si>
    <t xml:space="preserve">Kartoffeln, roh</t>
  </si>
  <si>
    <t xml:space="preserve">Süßkartoffeln, roh</t>
  </si>
  <si>
    <t xml:space="preserve">Couscous, roh</t>
  </si>
  <si>
    <t xml:space="preserve">Vollkornbrot</t>
  </si>
  <si>
    <t xml:space="preserve">Dinkelbrötchen</t>
  </si>
  <si>
    <t xml:space="preserve">Quinoa, roh</t>
  </si>
  <si>
    <t xml:space="preserve">Reiswaffeln</t>
  </si>
  <si>
    <t xml:space="preserve">Banane</t>
  </si>
  <si>
    <t xml:space="preserve">Apfel</t>
  </si>
  <si>
    <t xml:space="preserve">Beeren gemischt</t>
  </si>
  <si>
    <t xml:space="preserve">Orange</t>
  </si>
  <si>
    <t xml:space="preserve">Brokkoli</t>
  </si>
  <si>
    <t xml:space="preserve">Zucchini</t>
  </si>
  <si>
    <t xml:space="preserve">Paprika</t>
  </si>
  <si>
    <t xml:space="preserve">Spinat, frisch</t>
  </si>
  <si>
    <t xml:space="preserve">Gurke</t>
  </si>
  <si>
    <t xml:space="preserve">Tomaten</t>
  </si>
  <si>
    <t xml:space="preserve">Olivenöl</t>
  </si>
  <si>
    <t xml:space="preserve">Rapsöl</t>
  </si>
  <si>
    <t xml:space="preserve">Mandeln</t>
  </si>
  <si>
    <t xml:space="preserve">Walnüsse</t>
  </si>
  <si>
    <t xml:space="preserve">Erdnussbutter</t>
  </si>
  <si>
    <t xml:space="preserve">Avocado</t>
  </si>
  <si>
    <t xml:space="preserve">Leinsamen, geschrotet</t>
  </si>
  <si>
    <t xml:space="preserve">Zartbitterschokolade 85 %</t>
  </si>
  <si>
    <t xml:space="preserve">MEIN TAG — Lebensmittel wählen und Menge eintragen</t>
  </si>
  <si>
    <t xml:space="preserve">Menge (g)</t>
  </si>
  <si>
    <t xml:space="preserve">Dein Ziel</t>
  </si>
  <si>
    <t xml:space="preserve">Differenz</t>
  </si>
  <si>
    <t xml:space="preserve">Werte sind Durchschnittsangaben je 100 g im Rohzustand. Für exakte Angaben immer die Verpackung prüfen.</t>
  </si>
  <si>
    <t xml:space="preserve">12-Wochen-Tracker</t>
  </si>
  <si>
    <t xml:space="preserve">Täglich morgens wiegen. Bitte lückenlos von Tag 1 an ausfüllen.</t>
  </si>
  <si>
    <t xml:space="preserve">Der 7-Tage-Trend glättet Wasserschwankungen heraus. Eine einzelne Tageszahl sagt fast nichts aus — der Trend schon.</t>
  </si>
  <si>
    <t xml:space="preserve">Tag</t>
  </si>
  <si>
    <t xml:space="preserve">Datum</t>
  </si>
  <si>
    <t xml:space="preserve">Gewicht (kg)</t>
  </si>
  <si>
    <t xml:space="preserve">Zufuhr (kcal)</t>
  </si>
  <si>
    <t xml:space="preserve">7-Tage-Trend</t>
  </si>
  <si>
    <t xml:space="preserve">Kalibrierung — messen statt schätzen</t>
  </si>
  <si>
    <t xml:space="preserve">Ab 14 lückenlos erfassten Tagen rechnet diese Datei deinen echten Bedarf zurück.</t>
  </si>
  <si>
    <t xml:space="preserve">Jede Formel bleibt eine Schätzung. Der größte Genauigkeitsgewinn kommt nicht aus einem weiteren Eingabefeld, sondern aus deinem eigenen Verlauf.</t>
  </si>
  <si>
    <t xml:space="preserve">STATUS</t>
  </si>
  <si>
    <t xml:space="preserve">Erfasste Tage (Gewicht und Zufuhr)</t>
  </si>
  <si>
    <t xml:space="preserve">RÜCKRECHNUNG</t>
  </si>
  <si>
    <t xml:space="preserve">Anzahl Gewichtseinträge</t>
  </si>
  <si>
    <t xml:space="preserve">Startgewicht (Ø Tag 1–7)</t>
  </si>
  <si>
    <t xml:space="preserve">Aktueller 7-Tage-Trend</t>
  </si>
  <si>
    <t xml:space="preserve">Zeitraum (Tage)</t>
  </si>
  <si>
    <t xml:space="preserve">Gewichtsveränderung (kg)</t>
  </si>
  <si>
    <t xml:space="preserve">Ø tägliche Zufuhr</t>
  </si>
  <si>
    <t xml:space="preserve">Energie aus der Gewichtsveränderung</t>
  </si>
  <si>
    <t xml:space="preserve">7.700 kcal je kg Körpergewebe</t>
  </si>
  <si>
    <t xml:space="preserve">ERGEBNIS</t>
  </si>
  <si>
    <t xml:space="preserve">Dein realer Erhaltungsbedarf</t>
  </si>
  <si>
    <t xml:space="preserve">Ø Zufuhr minus Energie aus der Gewichtsveränderung</t>
  </si>
  <si>
    <t xml:space="preserve">Rechnerischer Erhaltungsbedarf</t>
  </si>
  <si>
    <t xml:space="preserve">was die Formel geschätzt hat</t>
  </si>
  <si>
    <t xml:space="preserve">Abweichung</t>
  </si>
  <si>
    <t xml:space="preserve">Angepasstes Kalorienziel</t>
  </si>
  <si>
    <t xml:space="preserve">ab hier wird nicht mehr geschätzt, sondern an dir gemessen</t>
  </si>
  <si>
    <t xml:space="preserve">Kalibrierung aktiv (1 = ja)</t>
  </si>
  <si>
    <t xml:space="preserve">So liest du das Ergebnis:  Liegt dein realer Bedarf deutlich über der Schätzung, darfst du mehr essen als gedacht. Liegt er darunter, war die Schätzung zu großzügig. Beides ist normal — genau deshalb wird kalibriert.</t>
  </si>
  <si>
    <t xml:space="preserve">Voraussetzung: Der Tracker wird ab Tag 1 lückenlos gefüllt. Einzelne Lücken verzerren den Zeitraum und damit das Ergebnis.</t>
  </si>
  <si>
    <t xml:space="preserve">Andere Apps zählen. Intaq. rechnet.</t>
  </si>
  <si>
    <t xml:space="preserve">Diese Datei nutzt dieselbe Logik wie die App — nur ohne die automatische Anpassung.</t>
  </si>
  <si>
    <t xml:space="preserve">Was diese Datei kann</t>
  </si>
  <si>
    <t xml:space="preserve">·   Grundumsatz über die genaueste verfügbare Methode</t>
  </si>
  <si>
    <t xml:space="preserve">·   Kalorienziel und Makros aus deinen Angaben</t>
  </si>
  <si>
    <t xml:space="preserve">·   7-Tage-Trend statt Tageszahlen</t>
  </si>
  <si>
    <t xml:space="preserve">·   Kalibrierung deines echten Bedarfs nach 14 Tagen</t>
  </si>
  <si>
    <t xml:space="preserve">Was die App zusätzlich macht</t>
  </si>
  <si>
    <t xml:space="preserve">·   Über 25 Parameter statt der Kernangaben</t>
  </si>
  <si>
    <t xml:space="preserve">·   Labor- und DEXA-Werte als direkte Rechenparameter</t>
  </si>
  <si>
    <t xml:space="preserve">·   Live-Sync mit Apple Health und Google Fit</t>
  </si>
  <si>
    <t xml:space="preserve">·   Automatische Neuberechnung bei jeder Änderung — inklusive Klartext, welcher Faktor sie ausgelöst hat</t>
  </si>
  <si>
    <t xml:space="preserve">·   Barcode-Scanner mit über 3 Millionen Produkten</t>
  </si>
  <si>
    <t xml:space="preserve">·   Laufende Kalibrierung statt einmaliger Rückrechnung</t>
  </si>
  <si>
    <t xml:space="preserve">Early Access sichern:</t>
  </si>
  <si>
    <t xml:space="preserve">intaq.de/early-access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</si>
</sst>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0.00"/>
    <numFmt numFmtId="166" formatCode="@"/>
    <numFmt numFmtId="167" formatCode="0"/>
    <numFmt numFmtId="168" formatCode="0.0"/>
    <numFmt numFmtId="169" formatCode="#,##0&quot; kcal&quot;"/>
    <numFmt numFmtId="170" formatCode="#,##0&quot; g&quot;"/>
    <numFmt numFmtId="171" formatCode="#,##0"/>
    <numFmt numFmtId="172" formatCode="0.0%"/>
    <numFmt numFmtId="173" formatCode="0%"/>
    <numFmt numFmtId="174" formatCode="\+0;\-0;0"/>
    <numFmt numFmtId="175" formatCode="dd\.mm\.yyyy"/>
    <numFmt numFmtId="176" formatCode="\+0.00;\-0.00;0.00"/>
    <numFmt numFmtId="177" formatCode="\+#,##0;\-#,##0;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8"/>
      <color rgb="FF666666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9"/>
      <color rgb="FFC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666666"/>
      <name val="Arial"/>
      <family val="0"/>
      <charset val="1"/>
    </font>
    <font>
      <sz val="9"/>
      <color rgb="FF666666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9"/>
      <color rgb="FF5CAFAE"/>
      <name val="Arial"/>
      <family val="0"/>
      <charset val="1"/>
    </font>
    <font>
      <sz val="10"/>
      <name val="Arial"/>
      <family val="2"/>
    </font>
    <font>
      <b val="true"/>
      <sz val="9"/>
      <color rgb="FF5CAFAE"/>
      <name val="Arial"/>
      <family val="0"/>
      <charset val="1"/>
    </font>
    <font>
      <b val="true"/>
      <sz val="10"/>
      <color rgb="FF5CAFAE"/>
      <name val="Arial"/>
      <family val="0"/>
      <charset val="1"/>
    </font>
    <font>
      <b val="true"/>
      <sz val="11"/>
      <color rgb="FF5CAFAE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5CAFAE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5CAFAE"/>
        <bgColor rgb="FF339966"/>
      </patternFill>
    </fill>
    <fill>
      <patternFill patternType="solid">
        <fgColor rgb="FFF5F7F7"/>
        <bgColor rgb="FFFFFFFF"/>
      </patternFill>
    </fill>
    <fill>
      <patternFill patternType="solid">
        <fgColor rgb="FFFFF2CC"/>
        <bgColor rgb="FFF5F7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5"/>
      </left>
      <right style="thin">
        <color rgb="FFD0D5D5"/>
      </right>
      <top style="thin">
        <color rgb="FFD0D5D5"/>
      </top>
      <bottom style="thin">
        <color rgb="FFD0D5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C00000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5F7F7"/>
      <rgbColor rgb="FF660066"/>
      <rgbColor rgb="FFFF8080"/>
      <rgbColor rgb="FF0066CC"/>
      <rgbColor rgb="FFD0D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CAFAE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0"/>
    <col collapsed="false" customWidth="true" hidden="false" outlineLevel="0" max="3" min="3" style="0" width="3"/>
    <col collapsed="false" customWidth="true" hidden="false" outlineLevel="0" max="4" min="4" style="0" width="26"/>
    <col collapsed="false" customWidth="true" hidden="false" outlineLevel="0" max="5" min="5" style="0" width="10"/>
    <col collapsed="false" customWidth="true" hidden="false" outlineLevel="0" max="6" min="6" style="0" width="3"/>
    <col collapsed="false" customWidth="true" hidden="false" outlineLevel="0" max="7" min="7" style="0" width="28"/>
    <col collapsed="false" customWidth="true" hidden="false" outlineLevel="0" max="8" min="8" style="0" width="10"/>
    <col collapsed="false" customWidth="true" hidden="false" outlineLevel="0" max="9" min="9" style="0" width="3"/>
    <col collapsed="false" customWidth="true" hidden="false" outlineLevel="0" max="10" min="10" style="0" width="16"/>
    <col collapsed="false" customWidth="true" hidden="false" outlineLevel="0" max="11" min="11" style="0" width="10"/>
  </cols>
  <sheetData>
    <row r="1" customFormat="false" ht="25.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.75" hidden="false" customHeight="tru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5" hidden="false" customHeight="false" outlineLevel="0" collapsed="false">
      <c r="A4" s="4" t="s">
        <v>2</v>
      </c>
      <c r="B4" s="5"/>
      <c r="D4" s="4" t="s">
        <v>3</v>
      </c>
      <c r="E4" s="5"/>
      <c r="G4" s="4" t="s">
        <v>4</v>
      </c>
      <c r="H4" s="5"/>
      <c r="J4" s="4" t="s">
        <v>5</v>
      </c>
      <c r="K4" s="5"/>
    </row>
    <row r="5" customFormat="false" ht="15" hidden="false" customHeight="false" outlineLevel="0" collapsed="false">
      <c r="A5" s="6" t="s">
        <v>6</v>
      </c>
      <c r="B5" s="7" t="n">
        <v>1.2</v>
      </c>
      <c r="D5" s="6" t="s">
        <v>7</v>
      </c>
      <c r="E5" s="7" t="n">
        <v>5</v>
      </c>
      <c r="G5" s="6" t="s">
        <v>8</v>
      </c>
      <c r="H5" s="7" t="n">
        <v>0</v>
      </c>
      <c r="J5" s="6" t="s">
        <v>9</v>
      </c>
      <c r="K5" s="7" t="n">
        <v>0.05</v>
      </c>
    </row>
    <row r="6" customFormat="false" ht="15" hidden="false" customHeight="false" outlineLevel="0" collapsed="false">
      <c r="A6" s="6" t="s">
        <v>10</v>
      </c>
      <c r="B6" s="7" t="n">
        <v>1.35</v>
      </c>
      <c r="D6" s="6" t="s">
        <v>11</v>
      </c>
      <c r="E6" s="7" t="n">
        <v>6</v>
      </c>
      <c r="G6" s="6" t="s">
        <v>12</v>
      </c>
      <c r="H6" s="7" t="n">
        <v>-0.03</v>
      </c>
      <c r="J6" s="6" t="s">
        <v>13</v>
      </c>
      <c r="K6" s="7" t="n">
        <v>0.1</v>
      </c>
    </row>
    <row r="7" customFormat="false" ht="15" hidden="false" customHeight="false" outlineLevel="0" collapsed="false">
      <c r="A7" s="6" t="s">
        <v>14</v>
      </c>
      <c r="B7" s="7" t="n">
        <v>1.45</v>
      </c>
      <c r="D7" s="6" t="s">
        <v>15</v>
      </c>
      <c r="E7" s="7" t="n">
        <v>7</v>
      </c>
      <c r="G7" s="6" t="s">
        <v>16</v>
      </c>
      <c r="H7" s="7" t="n">
        <v>-0.08</v>
      </c>
      <c r="J7" s="6" t="s">
        <v>17</v>
      </c>
      <c r="K7" s="7" t="n">
        <v>0.15</v>
      </c>
    </row>
    <row r="8" customFormat="false" ht="15" hidden="false" customHeight="false" outlineLevel="0" collapsed="false">
      <c r="A8" s="6" t="s">
        <v>18</v>
      </c>
      <c r="B8" s="7" t="n">
        <v>1.55</v>
      </c>
      <c r="D8" s="6" t="s">
        <v>19</v>
      </c>
      <c r="E8" s="7" t="n">
        <v>9</v>
      </c>
      <c r="G8" s="6" t="s">
        <v>20</v>
      </c>
      <c r="H8" s="7" t="n">
        <v>0.08</v>
      </c>
    </row>
    <row r="9" customFormat="false" ht="15" hidden="false" customHeight="false" outlineLevel="0" collapsed="false">
      <c r="A9" s="6" t="s">
        <v>21</v>
      </c>
      <c r="B9" s="7" t="n">
        <v>1.7</v>
      </c>
    </row>
    <row r="12" customFormat="false" ht="15" hidden="false" customHeight="false" outlineLevel="0" collapsed="false">
      <c r="A12" s="8" t="s">
        <v>22</v>
      </c>
    </row>
    <row r="13" customFormat="false" ht="15" hidden="false" customHeight="false" outlineLevel="0" collapsed="false">
      <c r="A13" s="9" t="s">
        <v>23</v>
      </c>
    </row>
    <row r="14" customFormat="false" ht="15" hidden="false" customHeight="false" outlineLevel="0" collapsed="false">
      <c r="A14" s="9" t="s">
        <v>24</v>
      </c>
    </row>
    <row r="15" customFormat="false" ht="15" hidden="false" customHeight="false" outlineLevel="0" collapsed="false">
      <c r="A15" s="9" t="s">
        <v>25</v>
      </c>
    </row>
    <row r="16" customFormat="false" ht="15" hidden="false" customHeight="false" outlineLevel="0" collapsed="false">
      <c r="A16" s="9" t="s">
        <v>26</v>
      </c>
    </row>
    <row r="17" customFormat="false" ht="15" hidden="false" customHeight="false" outlineLevel="0" collapsed="false">
      <c r="A17" s="9" t="s">
        <v>27</v>
      </c>
    </row>
    <row r="18" customFormat="false" ht="15" hidden="false" customHeight="false" outlineLevel="0" collapsed="false">
      <c r="A18" s="9" t="s">
        <v>28</v>
      </c>
    </row>
    <row r="19" customFormat="false" ht="15" hidden="false" customHeight="false" outlineLevel="0" collapsed="false">
      <c r="A19" s="9" t="s">
        <v>29</v>
      </c>
    </row>
    <row r="20" customFormat="false" ht="15" hidden="false" customHeight="false" outlineLevel="0" collapsed="false">
      <c r="A20" s="9" t="s">
        <v>30</v>
      </c>
    </row>
    <row r="23" customFormat="false" ht="15" hidden="false" customHeight="false" outlineLevel="0" collapsed="false">
      <c r="A23" s="10" t="s">
        <v>31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"/>
    <col collapsed="false" customWidth="true" hidden="false" outlineLevel="0" max="3" min="3" style="0" width="22"/>
    <col collapsed="false" customWidth="true" hidden="false" outlineLevel="0" max="4" min="4" style="0" width="2"/>
    <col collapsed="false" customWidth="true" hidden="false" outlineLevel="0" max="5" min="5" style="0" width="52"/>
  </cols>
  <sheetData>
    <row r="1" customFormat="false" ht="25.5" hidden="false" customHeight="true" outlineLevel="0" collapsed="false">
      <c r="A1" s="1" t="s">
        <v>32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33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13" t="s">
        <v>34</v>
      </c>
    </row>
    <row r="6" customFormat="false" ht="19.5" hidden="false" customHeight="true" outlineLevel="0" collapsed="false">
      <c r="A6" s="4" t="s">
        <v>35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14" t="s">
        <v>36</v>
      </c>
      <c r="C7" s="15" t="s">
        <v>37</v>
      </c>
      <c r="E7" s="16" t="s">
        <v>38</v>
      </c>
    </row>
    <row r="8" customFormat="false" ht="15" hidden="false" customHeight="false" outlineLevel="0" collapsed="false">
      <c r="A8" s="14" t="s">
        <v>39</v>
      </c>
      <c r="C8" s="17" t="n">
        <v>28</v>
      </c>
      <c r="E8" s="16" t="s">
        <v>40</v>
      </c>
    </row>
    <row r="9" customFormat="false" ht="15" hidden="false" customHeight="false" outlineLevel="0" collapsed="false">
      <c r="A9" s="14" t="s">
        <v>41</v>
      </c>
      <c r="C9" s="18" t="n">
        <v>82</v>
      </c>
      <c r="E9" s="16" t="s">
        <v>42</v>
      </c>
    </row>
    <row r="10" customFormat="false" ht="15" hidden="false" customHeight="false" outlineLevel="0" collapsed="false">
      <c r="A10" s="14" t="s">
        <v>43</v>
      </c>
      <c r="C10" s="17" t="n">
        <v>180</v>
      </c>
      <c r="E10" s="16" t="s">
        <v>44</v>
      </c>
    </row>
    <row r="12" customFormat="false" ht="19.5" hidden="false" customHeight="true" outlineLevel="0" collapsed="false">
      <c r="A12" s="4" t="s">
        <v>45</v>
      </c>
      <c r="B12" s="5"/>
      <c r="C12" s="5"/>
      <c r="D12" s="5"/>
      <c r="E12" s="5"/>
      <c r="F12" s="5"/>
    </row>
    <row r="13" customFormat="false" ht="15" hidden="false" customHeight="false" outlineLevel="0" collapsed="false">
      <c r="A13" s="14" t="s">
        <v>46</v>
      </c>
      <c r="C13" s="18"/>
      <c r="E13" s="16" t="s">
        <v>47</v>
      </c>
    </row>
    <row r="14" customFormat="false" ht="15" hidden="false" customHeight="false" outlineLevel="0" collapsed="false">
      <c r="A14" s="14" t="s">
        <v>48</v>
      </c>
      <c r="C14" s="18"/>
      <c r="E14" s="16" t="s">
        <v>49</v>
      </c>
    </row>
    <row r="15" customFormat="false" ht="15" hidden="false" customHeight="false" outlineLevel="0" collapsed="false">
      <c r="A15" s="14" t="s">
        <v>50</v>
      </c>
      <c r="C15" s="17"/>
      <c r="E15" s="16" t="s">
        <v>51</v>
      </c>
    </row>
    <row r="17" customFormat="false" ht="19.5" hidden="false" customHeight="true" outlineLevel="0" collapsed="false">
      <c r="A17" s="4" t="s">
        <v>52</v>
      </c>
      <c r="B17" s="5"/>
      <c r="C17" s="5"/>
      <c r="D17" s="5"/>
      <c r="E17" s="5"/>
      <c r="F17" s="5"/>
    </row>
    <row r="18" customFormat="false" ht="15" hidden="false" customHeight="false" outlineLevel="0" collapsed="false">
      <c r="A18" s="14" t="s">
        <v>53</v>
      </c>
      <c r="C18" s="15" t="s">
        <v>10</v>
      </c>
      <c r="E18" s="16" t="s">
        <v>54</v>
      </c>
    </row>
    <row r="19" customFormat="false" ht="15" hidden="false" customHeight="false" outlineLevel="0" collapsed="false">
      <c r="A19" s="14" t="s">
        <v>55</v>
      </c>
      <c r="C19" s="17" t="n">
        <v>4</v>
      </c>
    </row>
    <row r="20" customFormat="false" ht="15" hidden="false" customHeight="false" outlineLevel="0" collapsed="false">
      <c r="A20" s="14" t="s">
        <v>56</v>
      </c>
      <c r="C20" s="17" t="n">
        <v>60</v>
      </c>
      <c r="E20" s="16" t="s">
        <v>57</v>
      </c>
    </row>
    <row r="21" customFormat="false" ht="15" hidden="false" customHeight="false" outlineLevel="0" collapsed="false">
      <c r="A21" s="14" t="s">
        <v>58</v>
      </c>
      <c r="C21" s="15" t="s">
        <v>7</v>
      </c>
    </row>
    <row r="23" customFormat="false" ht="19.5" hidden="false" customHeight="true" outlineLevel="0" collapsed="false">
      <c r="A23" s="4" t="s">
        <v>59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14" t="s">
        <v>60</v>
      </c>
      <c r="C24" s="15" t="s">
        <v>8</v>
      </c>
      <c r="E24" s="16" t="s">
        <v>61</v>
      </c>
    </row>
    <row r="25" customFormat="false" ht="15" hidden="false" customHeight="false" outlineLevel="0" collapsed="false">
      <c r="A25" s="14" t="s">
        <v>62</v>
      </c>
      <c r="C25" s="17" t="n">
        <v>0</v>
      </c>
      <c r="E25" s="16" t="s">
        <v>63</v>
      </c>
    </row>
    <row r="26" customFormat="false" ht="15" hidden="false" customHeight="false" outlineLevel="0" collapsed="false">
      <c r="A26" s="14" t="s">
        <v>64</v>
      </c>
      <c r="C26" s="15" t="s">
        <v>65</v>
      </c>
    </row>
    <row r="28" customFormat="false" ht="19.5" hidden="false" customHeight="true" outlineLevel="0" collapsed="false">
      <c r="A28" s="4" t="s">
        <v>66</v>
      </c>
      <c r="B28" s="5"/>
      <c r="C28" s="5"/>
      <c r="D28" s="5"/>
      <c r="E28" s="5"/>
      <c r="F28" s="5"/>
    </row>
    <row r="29" customFormat="false" ht="15" hidden="false" customHeight="false" outlineLevel="0" collapsed="false">
      <c r="A29" s="14" t="s">
        <v>67</v>
      </c>
      <c r="C29" s="15" t="s">
        <v>13</v>
      </c>
      <c r="E29" s="16" t="s">
        <v>68</v>
      </c>
    </row>
    <row r="31" customFormat="false" ht="19.5" hidden="false" customHeight="true" outlineLevel="0" collapsed="false">
      <c r="A31" s="4" t="s">
        <v>69</v>
      </c>
      <c r="B31" s="5"/>
      <c r="C31" s="5"/>
      <c r="D31" s="5"/>
      <c r="E31" s="5"/>
      <c r="F31" s="5"/>
    </row>
    <row r="32" customFormat="false" ht="33.75" hidden="false" customHeight="true" outlineLevel="0" collapsed="false">
      <c r="A32" s="19" t="s">
        <v>70</v>
      </c>
      <c r="C32" s="20" t="n">
        <f aca="false">Rechenweg!C37</f>
        <v>3264.85182012848</v>
      </c>
    </row>
    <row r="33" customFormat="false" ht="15" hidden="false" customHeight="false" outlineLevel="0" collapsed="false">
      <c r="A33" s="14" t="s">
        <v>71</v>
      </c>
      <c r="C33" s="21" t="str">
        <f aca="false">TEXT(Rechenweg!C49,"0")&amp;" – "&amp;TEXT(Rechenweg!C50,"0")&amp;" kcal"</f>
        <v>2775 – 3755 kcal</v>
      </c>
    </row>
    <row r="34" customFormat="false" ht="15" hidden="false" customHeight="false" outlineLevel="0" collapsed="false">
      <c r="A34" s="14" t="s">
        <v>72</v>
      </c>
      <c r="C34" s="22" t="str">
        <f aca="false">Rechenweg!C10</f>
        <v>Mifflin-St-Jeor (Basisdaten)</v>
      </c>
    </row>
    <row r="35" customFormat="false" ht="15" hidden="false" customHeight="false" outlineLevel="0" collapsed="false">
      <c r="A35" s="14" t="s">
        <v>73</v>
      </c>
      <c r="C35" s="23" t="n">
        <f aca="false">Rechenweg!C38</f>
        <v>2949.10212765957</v>
      </c>
    </row>
    <row r="37" customFormat="false" ht="15" hidden="false" customHeight="false" outlineLevel="0" collapsed="false">
      <c r="A37" s="14" t="s">
        <v>74</v>
      </c>
      <c r="C37" s="24" t="n">
        <f aca="false">Rechenweg!C41</f>
        <v>147.6</v>
      </c>
      <c r="E37" s="25" t="n">
        <f aca="false">Rechenweg!C41*4</f>
        <v>590.4</v>
      </c>
    </row>
    <row r="38" customFormat="false" ht="15" hidden="false" customHeight="false" outlineLevel="0" collapsed="false">
      <c r="A38" s="14" t="s">
        <v>75</v>
      </c>
      <c r="C38" s="24" t="n">
        <f aca="false">Rechenweg!C42</f>
        <v>82</v>
      </c>
      <c r="E38" s="25" t="n">
        <f aca="false">Rechenweg!C42*9</f>
        <v>738</v>
      </c>
    </row>
    <row r="39" customFormat="false" ht="15" hidden="false" customHeight="false" outlineLevel="0" collapsed="false">
      <c r="A39" s="14" t="s">
        <v>76</v>
      </c>
      <c r="C39" s="24" t="n">
        <f aca="false">Rechenweg!C43</f>
        <v>484.11295503212</v>
      </c>
      <c r="E39" s="25" t="n">
        <f aca="false">Rechenweg!C43*4</f>
        <v>1936.45182012848</v>
      </c>
    </row>
    <row r="41" customFormat="false" ht="15" hidden="false" customHeight="true" outlineLevel="0" collapsed="false">
      <c r="A41" s="26" t="str">
        <f aca="false">IF(Rechenweg!C35&lt;Rechenweg!C36,"Hinweis: Dein Tempo wurde begrenzt. Unter deinem eigenen Ruheumsatz zu essen bringt dich nicht schneller ans Ziel — es kostet dich vor allem Muskelmasse.",IF(Rechenweg!C43&lt;=0,"Hinweis: Deine Protein- und Fettvorgaben füllen das Kalorienziel bereits aus. Bitte Eingaben prüfen.",""))</f>
        <v/>
      </c>
      <c r="B41" s="26"/>
      <c r="C41" s="26"/>
      <c r="D41" s="26"/>
      <c r="E41" s="26"/>
    </row>
    <row r="42" customFormat="false" ht="15" hidden="false" customHeight="true" outlineLevel="0" collapsed="false">
      <c r="A42" s="26"/>
      <c r="B42" s="26"/>
      <c r="C42" s="26"/>
      <c r="D42" s="26"/>
      <c r="E42" s="26"/>
    </row>
    <row r="44" customFormat="false" ht="15" hidden="false" customHeight="false" outlineLevel="0" collapsed="false">
      <c r="A44" s="27" t="s">
        <v>77</v>
      </c>
    </row>
    <row r="46" customFormat="false" ht="15" hidden="false" customHeight="false" outlineLevel="0" collapsed="false">
      <c r="A46" s="10" t="s">
        <v>31</v>
      </c>
      <c r="B46" s="11"/>
      <c r="C46" s="11"/>
      <c r="D46" s="11"/>
      <c r="E46" s="11"/>
      <c r="F46" s="11"/>
    </row>
  </sheetData>
  <sheetProtection sheet="true" formatCells="false" selectLockedCells="true" selectUnlockedCells="true"/>
  <mergeCells count="1">
    <mergeCell ref="A41:E42"/>
  </mergeCells>
  <dataValidations count="6">
    <dataValidation allowBlank="true" errorStyle="stop" operator="between" showDropDown="false" showErrorMessage="false" showInputMessage="false" sqref="C7" type="list">
      <formula1>"männlich,weiblich"</formula1>
      <formula2>0</formula2>
    </dataValidation>
    <dataValidation allowBlank="true" errorStyle="stop" operator="between" showDropDown="false" showErrorMessage="false" showInputMessage="false" sqref="C18" type="list">
      <formula1>"Sitzend,kaum Bewegung,Überwiegend sitzend,etwas Bewegung,Teils stehend und gehend,Überwiegend stehend und gehend,Körperlich schwere Arbeit"</formula1>
      <formula2>0</formula2>
    </dataValidation>
    <dataValidation allowBlank="true" errorStyle="stop" operator="between" showDropDown="false" showErrorMessage="false" showInputMessage="false" sqref="C21" type="list">
      <formula1>"Krafttraining,Kraft und Cardio gemischt,Cardio moderat,HIIT / sehr intensiv"</formula1>
      <formula2>0</formula2>
    </dataValidation>
    <dataValidation allowBlank="true" errorStyle="stop" operator="between" showDropDown="false" showErrorMessage="false" showInputMessage="false" sqref="C24" type="list">
      <formula1>"normal / unbekannt,Unterfunktion (behandelt),Unterfunktion (unbehandelt),Überfunktion"</formula1>
      <formula2>0</formula2>
    </dataValidation>
    <dataValidation allowBlank="true" errorStyle="stop" operator="between" showDropDown="false" showErrorMessage="false" showInputMessage="false" sqref="C26" type="list">
      <formula1>"ja,nein"</formula1>
      <formula2>0</formula2>
    </dataValidation>
    <dataValidation allowBlank="true" errorStyle="stop" operator="between" showDropDown="false" showErrorMessage="false" showInputMessage="false" sqref="C29" type="list">
      <formula1>"moderat,standard,ambitioniert"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"/>
    <col collapsed="false" customWidth="true" hidden="false" outlineLevel="0" max="3" min="3" style="0" width="16"/>
    <col collapsed="false" customWidth="true" hidden="false" outlineLevel="0" max="4" min="4" style="0" width="2"/>
    <col collapsed="false" customWidth="true" hidden="false" outlineLevel="0" max="5" min="5" style="0" width="60"/>
  </cols>
  <sheetData>
    <row r="1" customFormat="false" ht="25.5" hidden="false" customHeight="true" outlineLevel="0" collapsed="false">
      <c r="A1" s="1" t="s">
        <v>78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79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4" t="s">
        <v>80</v>
      </c>
      <c r="B4" s="5"/>
      <c r="C4" s="5"/>
      <c r="D4" s="5"/>
      <c r="E4" s="5"/>
      <c r="F4" s="5"/>
    </row>
    <row r="5" customFormat="false" ht="15" hidden="false" customHeight="false" outlineLevel="0" collapsed="false">
      <c r="A5" s="14" t="s">
        <v>81</v>
      </c>
      <c r="C5" s="28" t="n">
        <f aca="false">IF(Start!C7="männlich",10*Start!C9+6.25*Start!C10-5*Start!C8+5,10*Start!C9+6.25*Start!C10-5*Start!C8-161)</f>
        <v>1810</v>
      </c>
      <c r="E5" s="29" t="s">
        <v>82</v>
      </c>
    </row>
    <row r="6" customFormat="false" ht="15" hidden="false" customHeight="false" outlineLevel="0" collapsed="false">
      <c r="A6" s="14" t="s">
        <v>83</v>
      </c>
      <c r="C6" s="28" t="str">
        <f aca="false">IF(Start!C13&gt;0,370+21.6*Start!C9*(1-Start!C13/100),"—")</f>
        <v>—</v>
      </c>
      <c r="E6" s="29" t="s">
        <v>84</v>
      </c>
    </row>
    <row r="7" customFormat="false" ht="15" hidden="false" customHeight="false" outlineLevel="0" collapsed="false">
      <c r="A7" s="14" t="s">
        <v>85</v>
      </c>
      <c r="C7" s="28" t="str">
        <f aca="false">IF(Start!C14&gt;0,500+22*Start!C14,"—")</f>
        <v>—</v>
      </c>
      <c r="E7" s="29" t="s">
        <v>86</v>
      </c>
    </row>
    <row r="8" customFormat="false" ht="15" hidden="false" customHeight="false" outlineLevel="0" collapsed="false">
      <c r="A8" s="14" t="s">
        <v>87</v>
      </c>
      <c r="C8" s="28" t="str">
        <f aca="false">IF(Start!C15&gt;0,Start!C15,"—")</f>
        <v>—</v>
      </c>
      <c r="E8" s="29" t="s">
        <v>88</v>
      </c>
    </row>
    <row r="9" customFormat="false" ht="15" hidden="false" customHeight="false" outlineLevel="0" collapsed="false">
      <c r="A9" s="14" t="s">
        <v>89</v>
      </c>
      <c r="C9" s="30" t="n">
        <f aca="false">IF(Start!C15&gt;0,Start!C15,IF(Start!C14&gt;0,C7,IF(Start!C13&gt;0,C6,C5)))</f>
        <v>1810</v>
      </c>
    </row>
    <row r="10" customFormat="false" ht="15" hidden="false" customHeight="false" outlineLevel="0" collapsed="false">
      <c r="A10" s="14" t="s">
        <v>90</v>
      </c>
      <c r="C10" s="31" t="str">
        <f aca="false">IF(Start!C15&gt;0,"Gemessener Ruheumsatz",IF(Start!C14&gt;0,"Cunningham (fettfreie Masse)",IF(Start!C13&gt;0,"Katch-McArdle (Körperfettanteil)","Mifflin-St-Jeor (Basisdaten)")))</f>
        <v>Mifflin-St-Jeor (Basisdaten)</v>
      </c>
    </row>
    <row r="12" customFormat="false" ht="19.5" hidden="false" customHeight="true" outlineLevel="0" collapsed="false">
      <c r="A12" s="4" t="s">
        <v>91</v>
      </c>
      <c r="B12" s="5"/>
      <c r="C12" s="5"/>
      <c r="D12" s="5"/>
      <c r="E12" s="5"/>
      <c r="F12" s="5"/>
    </row>
    <row r="13" customFormat="false" ht="15" hidden="false" customHeight="false" outlineLevel="0" collapsed="false">
      <c r="A13" s="14" t="s">
        <v>92</v>
      </c>
      <c r="C13" s="32" t="n">
        <f aca="false">IFERROR(INDEX(Referenz!$H$5:$H$8,MATCH(Start!C24,Referenz!$G$5:$G$8,0)),0)</f>
        <v>0</v>
      </c>
    </row>
    <row r="14" customFormat="false" ht="15" hidden="false" customHeight="false" outlineLevel="0" collapsed="false">
      <c r="A14" s="14" t="s">
        <v>93</v>
      </c>
      <c r="C14" s="32" t="n">
        <f aca="false">MIN(0.05,IF(Start!C25&gt;0,Start!C25/200*0.02,0))</f>
        <v>0</v>
      </c>
    </row>
    <row r="15" customFormat="false" ht="15" hidden="false" customHeight="false" outlineLevel="0" collapsed="false">
      <c r="A15" s="14" t="s">
        <v>94</v>
      </c>
      <c r="C15" s="32" t="n">
        <f aca="false">IF(Start!C26="ja",0.03,0)</f>
        <v>0</v>
      </c>
    </row>
    <row r="16" customFormat="false" ht="15" hidden="false" customHeight="false" outlineLevel="0" collapsed="false">
      <c r="A16" s="14" t="s">
        <v>95</v>
      </c>
      <c r="C16" s="33" t="n">
        <f aca="false">MIN(1.3,MAX(0.8,1+C13+C14+C15))</f>
        <v>1</v>
      </c>
    </row>
    <row r="17" customFormat="false" ht="15" hidden="false" customHeight="false" outlineLevel="0" collapsed="false">
      <c r="A17" s="14" t="s">
        <v>96</v>
      </c>
      <c r="C17" s="30" t="n">
        <f aca="false">C9*C16</f>
        <v>1810</v>
      </c>
    </row>
    <row r="19" customFormat="false" ht="19.5" hidden="false" customHeight="true" outlineLevel="0" collapsed="false">
      <c r="A19" s="4" t="s">
        <v>97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14" t="s">
        <v>98</v>
      </c>
      <c r="C20" s="32" t="n">
        <f aca="false">IFERROR(INDEX(Referenz!$B$5:$B$9,MATCH(Start!C18,Referenz!$A$5:$A$9,0)),1.35)</f>
        <v>1.35</v>
      </c>
    </row>
    <row r="21" customFormat="false" ht="15" hidden="false" customHeight="false" outlineLevel="0" collapsed="false">
      <c r="A21" s="14" t="s">
        <v>99</v>
      </c>
      <c r="C21" s="28" t="n">
        <f aca="false">C17*C20</f>
        <v>2443.5</v>
      </c>
    </row>
    <row r="23" customFormat="false" ht="19.5" hidden="false" customHeight="true" outlineLevel="0" collapsed="false">
      <c r="A23" s="4" t="s">
        <v>100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14" t="s">
        <v>101</v>
      </c>
      <c r="C24" s="34" t="n">
        <f aca="false">IFERROR(INDEX(Referenz!$E$5:$E$8,MATCH(Start!C21,Referenz!$D$5:$D$8,0)),5)</f>
        <v>5</v>
      </c>
    </row>
    <row r="25" customFormat="false" ht="15" hidden="false" customHeight="false" outlineLevel="0" collapsed="false">
      <c r="A25" s="14" t="s">
        <v>102</v>
      </c>
      <c r="C25" s="28" t="n">
        <f aca="false">C24*3.5*Start!C9/200*Start!C20</f>
        <v>430.5</v>
      </c>
    </row>
    <row r="26" customFormat="false" ht="15" hidden="false" customHeight="false" outlineLevel="0" collapsed="false">
      <c r="A26" s="14" t="s">
        <v>103</v>
      </c>
      <c r="C26" s="28" t="n">
        <f aca="false">C25*Start!C19/7</f>
        <v>246</v>
      </c>
      <c r="E26" s="29" t="s">
        <v>104</v>
      </c>
    </row>
    <row r="27" customFormat="false" ht="15" hidden="false" customHeight="false" outlineLevel="0" collapsed="false">
      <c r="A27" s="14" t="s">
        <v>105</v>
      </c>
      <c r="C27" s="30" t="n">
        <f aca="false">C21+C26</f>
        <v>2689.5</v>
      </c>
    </row>
    <row r="29" customFormat="false" ht="19.5" hidden="false" customHeight="true" outlineLevel="0" collapsed="false">
      <c r="A29" s="4" t="s">
        <v>106</v>
      </c>
      <c r="B29" s="5"/>
      <c r="C29" s="5"/>
      <c r="D29" s="5"/>
      <c r="E29" s="5"/>
      <c r="F29" s="5"/>
    </row>
    <row r="30" customFormat="false" ht="15" hidden="false" customHeight="false" outlineLevel="0" collapsed="false">
      <c r="A30" s="14" t="s">
        <v>107</v>
      </c>
      <c r="C30" s="35" t="n">
        <f aca="false">IF(Start!C14&gt;0,2*Start!C14,IF(Start!C13&gt;0,2*Start!C9*(1-Start!C13/100),1.8*Start!C9))</f>
        <v>147.6</v>
      </c>
      <c r="E30" s="29" t="s">
        <v>108</v>
      </c>
    </row>
    <row r="31" customFormat="false" ht="15" hidden="false" customHeight="false" outlineLevel="0" collapsed="false">
      <c r="A31" s="14" t="s">
        <v>109</v>
      </c>
      <c r="C31" s="28" t="n">
        <f aca="false">C30*4</f>
        <v>590.4</v>
      </c>
    </row>
    <row r="32" customFormat="false" ht="15" hidden="false" customHeight="false" outlineLevel="0" collapsed="false">
      <c r="A32" s="14" t="s">
        <v>110</v>
      </c>
      <c r="C32" s="35" t="n">
        <f aca="false">1*Start!C9</f>
        <v>82</v>
      </c>
      <c r="E32" s="29" t="s">
        <v>111</v>
      </c>
    </row>
    <row r="33" customFormat="false" ht="15" hidden="false" customHeight="false" outlineLevel="0" collapsed="false">
      <c r="A33" s="14" t="s">
        <v>112</v>
      </c>
      <c r="C33" s="28" t="n">
        <f aca="false">C32*9</f>
        <v>738</v>
      </c>
    </row>
    <row r="34" customFormat="false" ht="15" hidden="false" customHeight="false" outlineLevel="0" collapsed="false">
      <c r="A34" s="14" t="s">
        <v>113</v>
      </c>
      <c r="C34" s="36" t="n">
        <f aca="false">IFERROR(INDEX(Referenz!$K$5:$K$7,MATCH(Start!C29,Referenz!$J$5:$J$7,0)),0.1)</f>
        <v>0.1</v>
      </c>
      <c r="E34" s="29" t="s">
        <v>114</v>
      </c>
    </row>
    <row r="35" customFormat="false" ht="15" hidden="false" customHeight="false" outlineLevel="0" collapsed="false">
      <c r="A35" s="14" t="s">
        <v>115</v>
      </c>
      <c r="C35" s="28" t="n">
        <f aca="false">(1+C34)*(C27+0.19*C31-0.04*C33)/(1-0.06*(1+C34))</f>
        <v>3264.85182012848</v>
      </c>
    </row>
    <row r="36" customFormat="false" ht="15" hidden="false" customHeight="false" outlineLevel="0" collapsed="false">
      <c r="A36" s="14" t="s">
        <v>116</v>
      </c>
      <c r="C36" s="28" t="n">
        <f aca="false">MAX(C17,IF(Start!C7="männlich",1700,1400))</f>
        <v>1810</v>
      </c>
      <c r="E36" s="29" t="s">
        <v>117</v>
      </c>
    </row>
    <row r="37" customFormat="false" ht="15" hidden="false" customHeight="false" outlineLevel="0" collapsed="false">
      <c r="A37" s="14" t="s">
        <v>118</v>
      </c>
      <c r="C37" s="30" t="n">
        <f aca="false">MAX(C35,C36)</f>
        <v>3264.85182012848</v>
      </c>
    </row>
    <row r="38" customFormat="false" ht="15" hidden="false" customHeight="false" outlineLevel="0" collapsed="false">
      <c r="A38" s="14" t="s">
        <v>119</v>
      </c>
      <c r="C38" s="28" t="n">
        <f aca="false">(C27+0.19*C31-0.04*C33)/(1-0.06)</f>
        <v>2949.10212765957</v>
      </c>
      <c r="E38" s="29" t="s">
        <v>120</v>
      </c>
    </row>
    <row r="40" customFormat="false" ht="19.5" hidden="false" customHeight="true" outlineLevel="0" collapsed="false">
      <c r="A40" s="4" t="s">
        <v>121</v>
      </c>
      <c r="B40" s="5"/>
      <c r="C40" s="5"/>
      <c r="D40" s="5"/>
      <c r="E40" s="5"/>
      <c r="F40" s="5"/>
    </row>
    <row r="41" customFormat="false" ht="15" hidden="false" customHeight="false" outlineLevel="0" collapsed="false">
      <c r="A41" s="14" t="s">
        <v>107</v>
      </c>
      <c r="C41" s="37" t="n">
        <f aca="false">C30</f>
        <v>147.6</v>
      </c>
    </row>
    <row r="42" customFormat="false" ht="15" hidden="false" customHeight="false" outlineLevel="0" collapsed="false">
      <c r="A42" s="14" t="s">
        <v>110</v>
      </c>
      <c r="C42" s="37" t="n">
        <f aca="false">C32</f>
        <v>82</v>
      </c>
    </row>
    <row r="43" customFormat="false" ht="15" hidden="false" customHeight="false" outlineLevel="0" collapsed="false">
      <c r="A43" s="14" t="s">
        <v>122</v>
      </c>
      <c r="C43" s="37" t="n">
        <f aca="false">MAX(0,(C37-C31-C33)/4)</f>
        <v>484.11295503212</v>
      </c>
    </row>
    <row r="44" customFormat="false" ht="15" hidden="false" customHeight="false" outlineLevel="0" collapsed="false">
      <c r="A44" s="14" t="s">
        <v>123</v>
      </c>
      <c r="C44" s="28" t="n">
        <f aca="false">0.25*C31+0.02*C33+0.06*C43*4</f>
        <v>278.547109207709</v>
      </c>
      <c r="E44" s="29" t="s">
        <v>124</v>
      </c>
    </row>
    <row r="45" customFormat="false" ht="15" hidden="false" customHeight="false" outlineLevel="0" collapsed="false">
      <c r="A45" s="14" t="s">
        <v>125</v>
      </c>
      <c r="C45" s="28" t="n">
        <f aca="false">C41*4+C42*9+C43*4</f>
        <v>3264.85182012848</v>
      </c>
      <c r="E45" s="29" t="s">
        <v>126</v>
      </c>
    </row>
    <row r="47" customFormat="false" ht="19.5" hidden="false" customHeight="true" outlineLevel="0" collapsed="false">
      <c r="A47" s="4" t="s">
        <v>127</v>
      </c>
      <c r="B47" s="5"/>
      <c r="C47" s="5"/>
      <c r="D47" s="5"/>
      <c r="E47" s="5"/>
      <c r="F47" s="5"/>
    </row>
    <row r="48" customFormat="false" ht="15" hidden="false" customHeight="false" outlineLevel="0" collapsed="false">
      <c r="A48" s="14" t="s">
        <v>128</v>
      </c>
      <c r="C48" s="36" t="n">
        <f aca="false">IF(Kalibrierung!C25=1,0.03,IF(Start!C15&gt;0,0.05,IF(OR(Start!C14&gt;0,Start!C13&gt;0),0.11,0.15)))</f>
        <v>0.15</v>
      </c>
      <c r="E48" s="29" t="s">
        <v>129</v>
      </c>
    </row>
    <row r="49" customFormat="false" ht="15" hidden="false" customHeight="false" outlineLevel="0" collapsed="false">
      <c r="A49" s="14" t="s">
        <v>130</v>
      </c>
      <c r="C49" s="28" t="n">
        <f aca="false">C37*(1-C48)</f>
        <v>2775.12404710921</v>
      </c>
    </row>
    <row r="50" customFormat="false" ht="15" hidden="false" customHeight="false" outlineLevel="0" collapsed="false">
      <c r="A50" s="14" t="s">
        <v>131</v>
      </c>
      <c r="C50" s="28" t="n">
        <f aca="false">C37*(1+C48)</f>
        <v>3754.57959314775</v>
      </c>
    </row>
    <row r="52" customFormat="false" ht="15" hidden="false" customHeight="false" outlineLevel="0" collapsed="false">
      <c r="A52" s="10" t="s">
        <v>31</v>
      </c>
      <c r="B52" s="11"/>
      <c r="C52" s="11"/>
      <c r="D52" s="11"/>
      <c r="E52" s="11"/>
      <c r="F52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2"/>
  </cols>
  <sheetData>
    <row r="1" customFormat="false" ht="25.5" hidden="false" customHeight="true" outlineLevel="0" collapsed="false">
      <c r="A1" s="1" t="s">
        <v>132</v>
      </c>
      <c r="B1" s="2"/>
      <c r="C1" s="2"/>
      <c r="D1" s="2"/>
      <c r="E1" s="2"/>
      <c r="F1" s="2"/>
      <c r="G1" s="2"/>
    </row>
    <row r="2" customFormat="false" ht="15.75" hidden="false" customHeight="true" outlineLevel="0" collapsed="false">
      <c r="A2" s="12" t="s">
        <v>133</v>
      </c>
      <c r="B2" s="2"/>
      <c r="C2" s="2"/>
      <c r="D2" s="2"/>
      <c r="E2" s="2"/>
      <c r="F2" s="2"/>
      <c r="G2" s="2"/>
    </row>
    <row r="5" customFormat="false" ht="15" hidden="false" customHeight="false" outlineLevel="0" collapsed="false">
      <c r="A5" s="38" t="s">
        <v>134</v>
      </c>
      <c r="B5" s="38" t="s">
        <v>135</v>
      </c>
      <c r="C5" s="38" t="s">
        <v>136</v>
      </c>
      <c r="D5" s="38" t="s">
        <v>137</v>
      </c>
      <c r="E5" s="38" t="s">
        <v>138</v>
      </c>
      <c r="F5" s="38" t="s">
        <v>139</v>
      </c>
    </row>
    <row r="6" customFormat="false" ht="15" hidden="false" customHeight="false" outlineLevel="0" collapsed="false">
      <c r="A6" s="39" t="s">
        <v>140</v>
      </c>
      <c r="B6" s="40" t="n">
        <v>0.25</v>
      </c>
      <c r="C6" s="41" t="n">
        <f aca="false">$B6*Rechenweg!$C$37</f>
        <v>816.21295503212</v>
      </c>
      <c r="D6" s="42" t="n">
        <f aca="false">$B6*Rechenweg!$C$41</f>
        <v>36.9</v>
      </c>
      <c r="E6" s="42" t="n">
        <f aca="false">$B6*Rechenweg!$C$42</f>
        <v>20.5</v>
      </c>
      <c r="F6" s="42" t="n">
        <f aca="false">$B6*Rechenweg!$C$43</f>
        <v>121.02823875803</v>
      </c>
    </row>
    <row r="7" customFormat="false" ht="15" hidden="false" customHeight="false" outlineLevel="0" collapsed="false">
      <c r="A7" s="39" t="s">
        <v>141</v>
      </c>
      <c r="B7" s="40" t="n">
        <v>0.3</v>
      </c>
      <c r="C7" s="41" t="n">
        <f aca="false">$B7*Rechenweg!$C$37</f>
        <v>979.455546038544</v>
      </c>
      <c r="D7" s="42" t="n">
        <f aca="false">$B7*Rechenweg!$C$41</f>
        <v>44.28</v>
      </c>
      <c r="E7" s="42" t="n">
        <f aca="false">$B7*Rechenweg!$C$42</f>
        <v>24.6</v>
      </c>
      <c r="F7" s="42" t="n">
        <f aca="false">$B7*Rechenweg!$C$43</f>
        <v>145.233886509636</v>
      </c>
    </row>
    <row r="8" customFormat="false" ht="15" hidden="false" customHeight="false" outlineLevel="0" collapsed="false">
      <c r="A8" s="39" t="s">
        <v>142</v>
      </c>
      <c r="B8" s="40" t="n">
        <v>0.1</v>
      </c>
      <c r="C8" s="41" t="n">
        <f aca="false">$B8*Rechenweg!$C$37</f>
        <v>326.485182012848</v>
      </c>
      <c r="D8" s="42" t="n">
        <f aca="false">$B8*Rechenweg!$C$41</f>
        <v>14.76</v>
      </c>
      <c r="E8" s="42" t="n">
        <f aca="false">$B8*Rechenweg!$C$42</f>
        <v>8.2</v>
      </c>
      <c r="F8" s="42" t="n">
        <f aca="false">$B8*Rechenweg!$C$43</f>
        <v>48.411295503212</v>
      </c>
    </row>
    <row r="9" customFormat="false" ht="15" hidden="false" customHeight="false" outlineLevel="0" collapsed="false">
      <c r="A9" s="39" t="s">
        <v>143</v>
      </c>
      <c r="B9" s="40" t="n">
        <v>0.3</v>
      </c>
      <c r="C9" s="41" t="n">
        <f aca="false">$B9*Rechenweg!$C$37</f>
        <v>979.455546038544</v>
      </c>
      <c r="D9" s="42" t="n">
        <f aca="false">$B9*Rechenweg!$C$41</f>
        <v>44.28</v>
      </c>
      <c r="E9" s="42" t="n">
        <f aca="false">$B9*Rechenweg!$C$42</f>
        <v>24.6</v>
      </c>
      <c r="F9" s="42" t="n">
        <f aca="false">$B9*Rechenweg!$C$43</f>
        <v>145.233886509636</v>
      </c>
    </row>
    <row r="10" customFormat="false" ht="15" hidden="false" customHeight="false" outlineLevel="0" collapsed="false">
      <c r="A10" s="39" t="s">
        <v>144</v>
      </c>
      <c r="B10" s="40" t="n">
        <v>0</v>
      </c>
      <c r="C10" s="41" t="n">
        <f aca="false">$B10*Rechenweg!$C$37</f>
        <v>0</v>
      </c>
      <c r="D10" s="42" t="n">
        <f aca="false">$B10*Rechenweg!$C$41</f>
        <v>0</v>
      </c>
      <c r="E10" s="42" t="n">
        <f aca="false">$B10*Rechenweg!$C$42</f>
        <v>0</v>
      </c>
      <c r="F10" s="42" t="n">
        <f aca="false">$B10*Rechenweg!$C$43</f>
        <v>0</v>
      </c>
    </row>
    <row r="11" customFormat="false" ht="15" hidden="false" customHeight="false" outlineLevel="0" collapsed="false">
      <c r="A11" s="39" t="s">
        <v>145</v>
      </c>
      <c r="B11" s="40" t="n">
        <v>0.05</v>
      </c>
      <c r="C11" s="41" t="n">
        <f aca="false">$B11*Rechenweg!$C$37</f>
        <v>163.242591006424</v>
      </c>
      <c r="D11" s="42" t="n">
        <f aca="false">$B11*Rechenweg!$C$41</f>
        <v>7.38</v>
      </c>
      <c r="E11" s="42" t="n">
        <f aca="false">$B11*Rechenweg!$C$42</f>
        <v>4.1</v>
      </c>
      <c r="F11" s="42" t="n">
        <f aca="false">$B11*Rechenweg!$C$43</f>
        <v>24.205647751606</v>
      </c>
    </row>
    <row r="12" customFormat="false" ht="15" hidden="false" customHeight="false" outlineLevel="0" collapsed="false">
      <c r="A12" s="8" t="s">
        <v>146</v>
      </c>
      <c r="B12" s="43" t="n">
        <f aca="false">SUM(B6:B11)</f>
        <v>1</v>
      </c>
      <c r="C12" s="44" t="n">
        <f aca="false">SUM(C6:C11)</f>
        <v>3264.85182012848</v>
      </c>
      <c r="D12" s="45" t="n">
        <f aca="false">SUM(D6:D11)</f>
        <v>147.6</v>
      </c>
      <c r="E12" s="45" t="n">
        <f aca="false">SUM(E6:E11)</f>
        <v>82</v>
      </c>
      <c r="F12" s="45" t="n">
        <f aca="false">SUM(F6:F11)</f>
        <v>484.11295503212</v>
      </c>
    </row>
    <row r="14" customFormat="false" ht="15" hidden="false" customHeight="false" outlineLevel="0" collapsed="false">
      <c r="A14" s="13" t="str">
        <f aca="false">IF(ABS(B12-1)&gt;0.001,"Die Anteile ergeben zusammen nicht 100 % — bitte anpassen.","")</f>
        <v/>
      </c>
    </row>
    <row r="16" customFormat="false" ht="15" hidden="false" customHeight="false" outlineLevel="0" collapsed="false">
      <c r="A16" s="27" t="s">
        <v>147</v>
      </c>
    </row>
    <row r="18" customFormat="false" ht="15" hidden="false" customHeight="false" outlineLevel="0" collapsed="false">
      <c r="A18" s="10" t="s">
        <v>31</v>
      </c>
      <c r="B18" s="11"/>
      <c r="C18" s="11"/>
      <c r="D18" s="11"/>
      <c r="E18" s="11"/>
      <c r="F18" s="11"/>
      <c r="G18" s="11"/>
    </row>
  </sheetData>
  <sheetProtection sheet="true" formatCells="false" selectLockedCells="true" selectUnlockedCells="true"/>
  <conditionalFormatting sqref="B12">
    <cfRule type="cellIs" priority="2" operator="not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2"/>
  </cols>
  <sheetData>
    <row r="1" customFormat="false" ht="25.5" hidden="false" customHeight="true" outlineLevel="0" collapsed="false">
      <c r="A1" s="1" t="s">
        <v>148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149</v>
      </c>
      <c r="B2" s="2"/>
      <c r="C2" s="2"/>
      <c r="D2" s="2"/>
      <c r="E2" s="2"/>
      <c r="F2" s="2"/>
    </row>
    <row r="5" customFormat="false" ht="15" hidden="false" customHeight="false" outlineLevel="0" collapsed="false">
      <c r="A5" s="38" t="s">
        <v>150</v>
      </c>
      <c r="B5" s="38" t="s">
        <v>136</v>
      </c>
      <c r="C5" s="38" t="s">
        <v>137</v>
      </c>
      <c r="D5" s="38" t="s">
        <v>138</v>
      </c>
      <c r="E5" s="38" t="s">
        <v>139</v>
      </c>
    </row>
    <row r="6" customFormat="false" ht="15" hidden="false" customHeight="false" outlineLevel="0" collapsed="false">
      <c r="A6" s="6" t="s">
        <v>151</v>
      </c>
      <c r="B6" s="46" t="n">
        <v>106</v>
      </c>
      <c r="C6" s="47" t="n">
        <v>23.1</v>
      </c>
      <c r="D6" s="47" t="n">
        <v>1.4</v>
      </c>
      <c r="E6" s="47" t="n">
        <v>0</v>
      </c>
    </row>
    <row r="7" customFormat="false" ht="15" hidden="false" customHeight="false" outlineLevel="0" collapsed="false">
      <c r="A7" s="6" t="s">
        <v>152</v>
      </c>
      <c r="B7" s="46" t="n">
        <v>105</v>
      </c>
      <c r="C7" s="47" t="n">
        <v>24.1</v>
      </c>
      <c r="D7" s="47" t="n">
        <v>1</v>
      </c>
      <c r="E7" s="47" t="n">
        <v>0</v>
      </c>
    </row>
    <row r="8" customFormat="false" ht="15" hidden="false" customHeight="false" outlineLevel="0" collapsed="false">
      <c r="A8" s="6" t="s">
        <v>153</v>
      </c>
      <c r="B8" s="46" t="n">
        <v>133</v>
      </c>
      <c r="C8" s="47" t="n">
        <v>21.5</v>
      </c>
      <c r="D8" s="47" t="n">
        <v>5</v>
      </c>
      <c r="E8" s="47" t="n">
        <v>0</v>
      </c>
    </row>
    <row r="9" customFormat="false" ht="15" hidden="false" customHeight="false" outlineLevel="0" collapsed="false">
      <c r="A9" s="6" t="s">
        <v>154</v>
      </c>
      <c r="B9" s="46" t="n">
        <v>112</v>
      </c>
      <c r="C9" s="47" t="n">
        <v>22.2</v>
      </c>
      <c r="D9" s="47" t="n">
        <v>2.4</v>
      </c>
      <c r="E9" s="47" t="n">
        <v>0</v>
      </c>
    </row>
    <row r="10" customFormat="false" ht="15" hidden="false" customHeight="false" outlineLevel="0" collapsed="false">
      <c r="A10" s="6" t="s">
        <v>155</v>
      </c>
      <c r="B10" s="46" t="n">
        <v>208</v>
      </c>
      <c r="C10" s="47" t="n">
        <v>20.4</v>
      </c>
      <c r="D10" s="47" t="n">
        <v>13.4</v>
      </c>
      <c r="E10" s="47" t="n">
        <v>0</v>
      </c>
    </row>
    <row r="11" customFormat="false" ht="15" hidden="false" customHeight="false" outlineLevel="0" collapsed="false">
      <c r="A11" s="6" t="s">
        <v>156</v>
      </c>
      <c r="B11" s="46" t="n">
        <v>82</v>
      </c>
      <c r="C11" s="47" t="n">
        <v>18</v>
      </c>
      <c r="D11" s="47" t="n">
        <v>0.7</v>
      </c>
      <c r="E11" s="47" t="n">
        <v>0</v>
      </c>
    </row>
    <row r="12" customFormat="false" ht="15" hidden="false" customHeight="false" outlineLevel="0" collapsed="false">
      <c r="A12" s="6" t="s">
        <v>157</v>
      </c>
      <c r="B12" s="46" t="n">
        <v>108</v>
      </c>
      <c r="C12" s="47" t="n">
        <v>24</v>
      </c>
      <c r="D12" s="47" t="n">
        <v>1</v>
      </c>
      <c r="E12" s="47" t="n">
        <v>0</v>
      </c>
    </row>
    <row r="13" customFormat="false" ht="15" hidden="false" customHeight="false" outlineLevel="0" collapsed="false">
      <c r="A13" s="6" t="s">
        <v>158</v>
      </c>
      <c r="B13" s="46" t="n">
        <v>99</v>
      </c>
      <c r="C13" s="47" t="n">
        <v>20.9</v>
      </c>
      <c r="D13" s="47" t="n">
        <v>1</v>
      </c>
      <c r="E13" s="47" t="n">
        <v>0.2</v>
      </c>
    </row>
    <row r="14" customFormat="false" ht="15" hidden="false" customHeight="false" outlineLevel="0" collapsed="false">
      <c r="A14" s="6" t="s">
        <v>159</v>
      </c>
      <c r="B14" s="46" t="n">
        <v>67</v>
      </c>
      <c r="C14" s="47" t="n">
        <v>12</v>
      </c>
      <c r="D14" s="47" t="n">
        <v>0.3</v>
      </c>
      <c r="E14" s="47" t="n">
        <v>4</v>
      </c>
    </row>
    <row r="15" customFormat="false" ht="15" hidden="false" customHeight="false" outlineLevel="0" collapsed="false">
      <c r="A15" s="6" t="s">
        <v>160</v>
      </c>
      <c r="B15" s="46" t="n">
        <v>63</v>
      </c>
      <c r="C15" s="47" t="n">
        <v>11</v>
      </c>
      <c r="D15" s="47" t="n">
        <v>0.2</v>
      </c>
      <c r="E15" s="47" t="n">
        <v>4</v>
      </c>
    </row>
    <row r="16" customFormat="false" ht="15" hidden="false" customHeight="false" outlineLevel="0" collapsed="false">
      <c r="A16" s="6" t="s">
        <v>161</v>
      </c>
      <c r="B16" s="46" t="n">
        <v>98</v>
      </c>
      <c r="C16" s="47" t="n">
        <v>12.5</v>
      </c>
      <c r="D16" s="47" t="n">
        <v>4.3</v>
      </c>
      <c r="E16" s="47" t="n">
        <v>3.4</v>
      </c>
    </row>
    <row r="17" customFormat="false" ht="15" hidden="false" customHeight="false" outlineLevel="0" collapsed="false">
      <c r="A17" s="6" t="s">
        <v>162</v>
      </c>
      <c r="B17" s="46" t="n">
        <v>73</v>
      </c>
      <c r="C17" s="47" t="n">
        <v>9</v>
      </c>
      <c r="D17" s="47" t="n">
        <v>2</v>
      </c>
      <c r="E17" s="47" t="n">
        <v>4</v>
      </c>
    </row>
    <row r="18" customFormat="false" ht="15" hidden="false" customHeight="false" outlineLevel="0" collapsed="false">
      <c r="A18" s="6" t="s">
        <v>163</v>
      </c>
      <c r="B18" s="46" t="n">
        <v>125</v>
      </c>
      <c r="C18" s="47" t="n">
        <v>30</v>
      </c>
      <c r="D18" s="47" t="n">
        <v>0.7</v>
      </c>
      <c r="E18" s="47" t="n">
        <v>0</v>
      </c>
    </row>
    <row r="19" customFormat="false" ht="15" hidden="false" customHeight="false" outlineLevel="0" collapsed="false">
      <c r="A19" s="6" t="s">
        <v>164</v>
      </c>
      <c r="B19" s="46" t="n">
        <v>261</v>
      </c>
      <c r="C19" s="47" t="n">
        <v>30</v>
      </c>
      <c r="D19" s="47" t="n">
        <v>15</v>
      </c>
      <c r="E19" s="47" t="n">
        <v>0</v>
      </c>
    </row>
    <row r="20" customFormat="false" ht="15" hidden="false" customHeight="false" outlineLevel="0" collapsed="false">
      <c r="A20" s="6" t="s">
        <v>165</v>
      </c>
      <c r="B20" s="46" t="n">
        <v>143</v>
      </c>
      <c r="C20" s="47" t="n">
        <v>12.6</v>
      </c>
      <c r="D20" s="47" t="n">
        <v>9.5</v>
      </c>
      <c r="E20" s="47" t="n">
        <v>0.7</v>
      </c>
    </row>
    <row r="21" customFormat="false" ht="15" hidden="false" customHeight="false" outlineLevel="0" collapsed="false">
      <c r="A21" s="6" t="s">
        <v>166</v>
      </c>
      <c r="B21" s="46" t="n">
        <v>48</v>
      </c>
      <c r="C21" s="47" t="n">
        <v>11</v>
      </c>
      <c r="D21" s="47" t="n">
        <v>0.2</v>
      </c>
      <c r="E21" s="47" t="n">
        <v>0.7</v>
      </c>
    </row>
    <row r="22" customFormat="false" ht="15" hidden="false" customHeight="false" outlineLevel="0" collapsed="false">
      <c r="A22" s="6" t="s">
        <v>167</v>
      </c>
      <c r="B22" s="46" t="n">
        <v>380</v>
      </c>
      <c r="C22" s="47" t="n">
        <v>78</v>
      </c>
      <c r="D22" s="47" t="n">
        <v>5</v>
      </c>
      <c r="E22" s="47" t="n">
        <v>6</v>
      </c>
    </row>
    <row r="23" customFormat="false" ht="15" hidden="false" customHeight="false" outlineLevel="0" collapsed="false">
      <c r="A23" s="6" t="s">
        <v>168</v>
      </c>
      <c r="B23" s="46" t="n">
        <v>35</v>
      </c>
      <c r="C23" s="47" t="n">
        <v>3.4</v>
      </c>
      <c r="D23" s="47" t="n">
        <v>0.3</v>
      </c>
      <c r="E23" s="47" t="n">
        <v>4.8</v>
      </c>
    </row>
    <row r="24" customFormat="false" ht="15" hidden="false" customHeight="false" outlineLevel="0" collapsed="false">
      <c r="A24" s="6" t="s">
        <v>169</v>
      </c>
      <c r="B24" s="46" t="n">
        <v>144</v>
      </c>
      <c r="C24" s="47" t="n">
        <v>15.7</v>
      </c>
      <c r="D24" s="47" t="n">
        <v>8.7</v>
      </c>
      <c r="E24" s="47" t="n">
        <v>0.6</v>
      </c>
    </row>
    <row r="25" customFormat="false" ht="15" hidden="false" customHeight="false" outlineLevel="0" collapsed="false">
      <c r="A25" s="6" t="s">
        <v>170</v>
      </c>
      <c r="B25" s="46" t="n">
        <v>353</v>
      </c>
      <c r="C25" s="47" t="n">
        <v>25.8</v>
      </c>
      <c r="D25" s="47" t="n">
        <v>1.1</v>
      </c>
      <c r="E25" s="47" t="n">
        <v>52</v>
      </c>
    </row>
    <row r="26" customFormat="false" ht="15" hidden="false" customHeight="false" outlineLevel="0" collapsed="false">
      <c r="A26" s="6" t="s">
        <v>171</v>
      </c>
      <c r="B26" s="46" t="n">
        <v>364</v>
      </c>
      <c r="C26" s="47" t="n">
        <v>19.3</v>
      </c>
      <c r="D26" s="47" t="n">
        <v>6</v>
      </c>
      <c r="E26" s="47" t="n">
        <v>49</v>
      </c>
    </row>
    <row r="27" customFormat="false" ht="15" hidden="false" customHeight="false" outlineLevel="0" collapsed="false">
      <c r="A27" s="6" t="s">
        <v>172</v>
      </c>
      <c r="B27" s="46" t="n">
        <v>87</v>
      </c>
      <c r="C27" s="47" t="n">
        <v>6.9</v>
      </c>
      <c r="D27" s="47" t="n">
        <v>0.5</v>
      </c>
      <c r="E27" s="47" t="n">
        <v>12</v>
      </c>
    </row>
    <row r="28" customFormat="false" ht="15" hidden="false" customHeight="false" outlineLevel="0" collapsed="false">
      <c r="A28" s="6" t="s">
        <v>173</v>
      </c>
      <c r="B28" s="46" t="n">
        <v>372</v>
      </c>
      <c r="C28" s="47" t="n">
        <v>13.5</v>
      </c>
      <c r="D28" s="47" t="n">
        <v>7</v>
      </c>
      <c r="E28" s="47" t="n">
        <v>58.7</v>
      </c>
    </row>
    <row r="29" customFormat="false" ht="15" hidden="false" customHeight="false" outlineLevel="0" collapsed="false">
      <c r="A29" s="6" t="s">
        <v>174</v>
      </c>
      <c r="B29" s="46" t="n">
        <v>351</v>
      </c>
      <c r="C29" s="47" t="n">
        <v>6.8</v>
      </c>
      <c r="D29" s="47" t="n">
        <v>0.6</v>
      </c>
      <c r="E29" s="47" t="n">
        <v>77.7</v>
      </c>
    </row>
    <row r="30" customFormat="false" ht="15" hidden="false" customHeight="false" outlineLevel="0" collapsed="false">
      <c r="A30" s="6" t="s">
        <v>175</v>
      </c>
      <c r="B30" s="46" t="n">
        <v>349</v>
      </c>
      <c r="C30" s="47" t="n">
        <v>7.5</v>
      </c>
      <c r="D30" s="47" t="n">
        <v>0.9</v>
      </c>
      <c r="E30" s="47" t="n">
        <v>76</v>
      </c>
    </row>
    <row r="31" customFormat="false" ht="15" hidden="false" customHeight="false" outlineLevel="0" collapsed="false">
      <c r="A31" s="6" t="s">
        <v>176</v>
      </c>
      <c r="B31" s="46" t="n">
        <v>340</v>
      </c>
      <c r="C31" s="47" t="n">
        <v>13</v>
      </c>
      <c r="D31" s="47" t="n">
        <v>2.5</v>
      </c>
      <c r="E31" s="47" t="n">
        <v>62</v>
      </c>
    </row>
    <row r="32" customFormat="false" ht="15" hidden="false" customHeight="false" outlineLevel="0" collapsed="false">
      <c r="A32" s="6" t="s">
        <v>177</v>
      </c>
      <c r="B32" s="46" t="n">
        <v>359</v>
      </c>
      <c r="C32" s="47" t="n">
        <v>12.5</v>
      </c>
      <c r="D32" s="47" t="n">
        <v>1.4</v>
      </c>
      <c r="E32" s="47" t="n">
        <v>71.5</v>
      </c>
    </row>
    <row r="33" customFormat="false" ht="15" hidden="false" customHeight="false" outlineLevel="0" collapsed="false">
      <c r="A33" s="6" t="s">
        <v>178</v>
      </c>
      <c r="B33" s="46" t="n">
        <v>77</v>
      </c>
      <c r="C33" s="47" t="n">
        <v>2</v>
      </c>
      <c r="D33" s="47" t="n">
        <v>0.1</v>
      </c>
      <c r="E33" s="47" t="n">
        <v>15.4</v>
      </c>
    </row>
    <row r="34" customFormat="false" ht="15" hidden="false" customHeight="false" outlineLevel="0" collapsed="false">
      <c r="A34" s="6" t="s">
        <v>179</v>
      </c>
      <c r="B34" s="46" t="n">
        <v>86</v>
      </c>
      <c r="C34" s="47" t="n">
        <v>1.6</v>
      </c>
      <c r="D34" s="47" t="n">
        <v>0.1</v>
      </c>
      <c r="E34" s="47" t="n">
        <v>17.4</v>
      </c>
    </row>
    <row r="35" customFormat="false" ht="15" hidden="false" customHeight="false" outlineLevel="0" collapsed="false">
      <c r="A35" s="6" t="s">
        <v>180</v>
      </c>
      <c r="B35" s="46" t="n">
        <v>376</v>
      </c>
      <c r="C35" s="47" t="n">
        <v>12.8</v>
      </c>
      <c r="D35" s="47" t="n">
        <v>0.6</v>
      </c>
      <c r="E35" s="47" t="n">
        <v>72.4</v>
      </c>
    </row>
    <row r="36" customFormat="false" ht="15" hidden="false" customHeight="false" outlineLevel="0" collapsed="false">
      <c r="A36" s="6" t="s">
        <v>181</v>
      </c>
      <c r="B36" s="46" t="n">
        <v>217</v>
      </c>
      <c r="C36" s="47" t="n">
        <v>7</v>
      </c>
      <c r="D36" s="47" t="n">
        <v>1.2</v>
      </c>
      <c r="E36" s="47" t="n">
        <v>41</v>
      </c>
    </row>
    <row r="37" customFormat="false" ht="15" hidden="false" customHeight="false" outlineLevel="0" collapsed="false">
      <c r="A37" s="6" t="s">
        <v>182</v>
      </c>
      <c r="B37" s="46" t="n">
        <v>265</v>
      </c>
      <c r="C37" s="47" t="n">
        <v>9</v>
      </c>
      <c r="D37" s="47" t="n">
        <v>2</v>
      </c>
      <c r="E37" s="47" t="n">
        <v>50</v>
      </c>
    </row>
    <row r="38" customFormat="false" ht="15" hidden="false" customHeight="false" outlineLevel="0" collapsed="false">
      <c r="A38" s="6" t="s">
        <v>183</v>
      </c>
      <c r="B38" s="46" t="n">
        <v>368</v>
      </c>
      <c r="C38" s="47" t="n">
        <v>14.1</v>
      </c>
      <c r="D38" s="47" t="n">
        <v>6.1</v>
      </c>
      <c r="E38" s="47" t="n">
        <v>57.2</v>
      </c>
    </row>
    <row r="39" customFormat="false" ht="15" hidden="false" customHeight="false" outlineLevel="0" collapsed="false">
      <c r="A39" s="6" t="s">
        <v>184</v>
      </c>
      <c r="B39" s="46" t="n">
        <v>387</v>
      </c>
      <c r="C39" s="47" t="n">
        <v>8</v>
      </c>
      <c r="D39" s="47" t="n">
        <v>3</v>
      </c>
      <c r="E39" s="47" t="n">
        <v>81</v>
      </c>
    </row>
    <row r="40" customFormat="false" ht="15" hidden="false" customHeight="false" outlineLevel="0" collapsed="false">
      <c r="A40" s="6" t="s">
        <v>185</v>
      </c>
      <c r="B40" s="46" t="n">
        <v>89</v>
      </c>
      <c r="C40" s="47" t="n">
        <v>1.1</v>
      </c>
      <c r="D40" s="47" t="n">
        <v>0.3</v>
      </c>
      <c r="E40" s="47" t="n">
        <v>20</v>
      </c>
    </row>
    <row r="41" customFormat="false" ht="15" hidden="false" customHeight="false" outlineLevel="0" collapsed="false">
      <c r="A41" s="6" t="s">
        <v>186</v>
      </c>
      <c r="B41" s="46" t="n">
        <v>52</v>
      </c>
      <c r="C41" s="47" t="n">
        <v>0.3</v>
      </c>
      <c r="D41" s="47" t="n">
        <v>0.2</v>
      </c>
      <c r="E41" s="47" t="n">
        <v>12</v>
      </c>
    </row>
    <row r="42" customFormat="false" ht="15" hidden="false" customHeight="false" outlineLevel="0" collapsed="false">
      <c r="A42" s="6" t="s">
        <v>187</v>
      </c>
      <c r="B42" s="46" t="n">
        <v>45</v>
      </c>
      <c r="C42" s="47" t="n">
        <v>1</v>
      </c>
      <c r="D42" s="47" t="n">
        <v>0.4</v>
      </c>
      <c r="E42" s="47" t="n">
        <v>8</v>
      </c>
    </row>
    <row r="43" customFormat="false" ht="15" hidden="false" customHeight="false" outlineLevel="0" collapsed="false">
      <c r="A43" s="6" t="s">
        <v>188</v>
      </c>
      <c r="B43" s="46" t="n">
        <v>47</v>
      </c>
      <c r="C43" s="47" t="n">
        <v>0.9</v>
      </c>
      <c r="D43" s="47" t="n">
        <v>0.1</v>
      </c>
      <c r="E43" s="47" t="n">
        <v>9</v>
      </c>
    </row>
    <row r="44" customFormat="false" ht="15" hidden="false" customHeight="false" outlineLevel="0" collapsed="false">
      <c r="A44" s="6" t="s">
        <v>189</v>
      </c>
      <c r="B44" s="46" t="n">
        <v>34</v>
      </c>
      <c r="C44" s="47" t="n">
        <v>2.8</v>
      </c>
      <c r="D44" s="47" t="n">
        <v>0.4</v>
      </c>
      <c r="E44" s="47" t="n">
        <v>4</v>
      </c>
    </row>
    <row r="45" customFormat="false" ht="15" hidden="false" customHeight="false" outlineLevel="0" collapsed="false">
      <c r="A45" s="6" t="s">
        <v>190</v>
      </c>
      <c r="B45" s="46" t="n">
        <v>17</v>
      </c>
      <c r="C45" s="47" t="n">
        <v>1.2</v>
      </c>
      <c r="D45" s="47" t="n">
        <v>0.3</v>
      </c>
      <c r="E45" s="47" t="n">
        <v>2</v>
      </c>
    </row>
    <row r="46" customFormat="false" ht="15" hidden="false" customHeight="false" outlineLevel="0" collapsed="false">
      <c r="A46" s="6" t="s">
        <v>191</v>
      </c>
      <c r="B46" s="46" t="n">
        <v>31</v>
      </c>
      <c r="C46" s="47" t="n">
        <v>1</v>
      </c>
      <c r="D46" s="47" t="n">
        <v>0.3</v>
      </c>
      <c r="E46" s="47" t="n">
        <v>5</v>
      </c>
    </row>
    <row r="47" customFormat="false" ht="15" hidden="false" customHeight="false" outlineLevel="0" collapsed="false">
      <c r="A47" s="6" t="s">
        <v>192</v>
      </c>
      <c r="B47" s="46" t="n">
        <v>23</v>
      </c>
      <c r="C47" s="47" t="n">
        <v>2.9</v>
      </c>
      <c r="D47" s="47" t="n">
        <v>0.4</v>
      </c>
      <c r="E47" s="47" t="n">
        <v>1.4</v>
      </c>
    </row>
    <row r="48" customFormat="false" ht="15" hidden="false" customHeight="false" outlineLevel="0" collapsed="false">
      <c r="A48" s="6" t="s">
        <v>193</v>
      </c>
      <c r="B48" s="46" t="n">
        <v>15</v>
      </c>
      <c r="C48" s="47" t="n">
        <v>0.7</v>
      </c>
      <c r="D48" s="47" t="n">
        <v>0.1</v>
      </c>
      <c r="E48" s="47" t="n">
        <v>2</v>
      </c>
    </row>
    <row r="49" customFormat="false" ht="15" hidden="false" customHeight="false" outlineLevel="0" collapsed="false">
      <c r="A49" s="6" t="s">
        <v>194</v>
      </c>
      <c r="B49" s="46" t="n">
        <v>18</v>
      </c>
      <c r="C49" s="47" t="n">
        <v>0.9</v>
      </c>
      <c r="D49" s="47" t="n">
        <v>0.2</v>
      </c>
      <c r="E49" s="47" t="n">
        <v>2.6</v>
      </c>
    </row>
    <row r="50" customFormat="false" ht="15" hidden="false" customHeight="false" outlineLevel="0" collapsed="false">
      <c r="A50" s="6" t="s">
        <v>195</v>
      </c>
      <c r="B50" s="46" t="n">
        <v>884</v>
      </c>
      <c r="C50" s="47" t="n">
        <v>0</v>
      </c>
      <c r="D50" s="47" t="n">
        <v>100</v>
      </c>
      <c r="E50" s="47" t="n">
        <v>0</v>
      </c>
    </row>
    <row r="51" customFormat="false" ht="15" hidden="false" customHeight="false" outlineLevel="0" collapsed="false">
      <c r="A51" s="6" t="s">
        <v>196</v>
      </c>
      <c r="B51" s="46" t="n">
        <v>884</v>
      </c>
      <c r="C51" s="47" t="n">
        <v>0</v>
      </c>
      <c r="D51" s="47" t="n">
        <v>100</v>
      </c>
      <c r="E51" s="47" t="n">
        <v>0</v>
      </c>
    </row>
    <row r="52" customFormat="false" ht="15" hidden="false" customHeight="false" outlineLevel="0" collapsed="false">
      <c r="A52" s="6" t="s">
        <v>197</v>
      </c>
      <c r="B52" s="46" t="n">
        <v>579</v>
      </c>
      <c r="C52" s="47" t="n">
        <v>21.2</v>
      </c>
      <c r="D52" s="47" t="n">
        <v>49.9</v>
      </c>
      <c r="E52" s="47" t="n">
        <v>9.1</v>
      </c>
    </row>
    <row r="53" customFormat="false" ht="15" hidden="false" customHeight="false" outlineLevel="0" collapsed="false">
      <c r="A53" s="6" t="s">
        <v>198</v>
      </c>
      <c r="B53" s="46" t="n">
        <v>654</v>
      </c>
      <c r="C53" s="47" t="n">
        <v>15.2</v>
      </c>
      <c r="D53" s="47" t="n">
        <v>65.2</v>
      </c>
      <c r="E53" s="47" t="n">
        <v>7</v>
      </c>
    </row>
    <row r="54" customFormat="false" ht="15" hidden="false" customHeight="false" outlineLevel="0" collapsed="false">
      <c r="A54" s="6" t="s">
        <v>199</v>
      </c>
      <c r="B54" s="46" t="n">
        <v>588</v>
      </c>
      <c r="C54" s="47" t="n">
        <v>25</v>
      </c>
      <c r="D54" s="47" t="n">
        <v>50</v>
      </c>
      <c r="E54" s="47" t="n">
        <v>10</v>
      </c>
    </row>
    <row r="55" customFormat="false" ht="15" hidden="false" customHeight="false" outlineLevel="0" collapsed="false">
      <c r="A55" s="6" t="s">
        <v>200</v>
      </c>
      <c r="B55" s="46" t="n">
        <v>160</v>
      </c>
      <c r="C55" s="47" t="n">
        <v>2</v>
      </c>
      <c r="D55" s="47" t="n">
        <v>14.7</v>
      </c>
      <c r="E55" s="47" t="n">
        <v>1.8</v>
      </c>
    </row>
    <row r="56" customFormat="false" ht="15" hidden="false" customHeight="false" outlineLevel="0" collapsed="false">
      <c r="A56" s="6" t="s">
        <v>201</v>
      </c>
      <c r="B56" s="46" t="n">
        <v>534</v>
      </c>
      <c r="C56" s="47" t="n">
        <v>18.3</v>
      </c>
      <c r="D56" s="47" t="n">
        <v>42.2</v>
      </c>
      <c r="E56" s="47" t="n">
        <v>1.6</v>
      </c>
    </row>
    <row r="57" customFormat="false" ht="15" hidden="false" customHeight="false" outlineLevel="0" collapsed="false">
      <c r="A57" s="6" t="s">
        <v>202</v>
      </c>
      <c r="B57" s="46" t="n">
        <v>592</v>
      </c>
      <c r="C57" s="47" t="n">
        <v>10</v>
      </c>
      <c r="D57" s="47" t="n">
        <v>46</v>
      </c>
      <c r="E57" s="47" t="n">
        <v>19</v>
      </c>
    </row>
    <row r="60" customFormat="false" ht="19.5" hidden="false" customHeight="true" outlineLevel="0" collapsed="false">
      <c r="A60" s="4" t="s">
        <v>203</v>
      </c>
      <c r="B60" s="5"/>
      <c r="C60" s="5"/>
      <c r="D60" s="5"/>
      <c r="E60" s="5"/>
      <c r="F60" s="5"/>
    </row>
    <row r="61" customFormat="false" ht="15" hidden="false" customHeight="false" outlineLevel="0" collapsed="false">
      <c r="A61" s="48" t="s">
        <v>150</v>
      </c>
      <c r="B61" s="48" t="s">
        <v>204</v>
      </c>
      <c r="C61" s="48" t="s">
        <v>136</v>
      </c>
      <c r="D61" s="48" t="s">
        <v>137</v>
      </c>
      <c r="E61" s="48" t="s">
        <v>138</v>
      </c>
      <c r="F61" s="48" t="s">
        <v>139</v>
      </c>
    </row>
    <row r="62" customFormat="false" ht="15" hidden="false" customHeight="false" outlineLevel="0" collapsed="false">
      <c r="A62" s="49" t="s">
        <v>151</v>
      </c>
      <c r="B62" s="17" t="n">
        <v>200</v>
      </c>
      <c r="C62" s="42" t="n">
        <f aca="false">IFERROR(INDEX($B$6:$B$57,MATCH($A62,$A$6:$A$57,0))*$B62/100,"")</f>
        <v>212</v>
      </c>
      <c r="D62" s="50" t="n">
        <f aca="false">IFERROR(INDEX($C$6:$C$57,MATCH($A62,$A$6:$A$57,0))*$B62/100,"")</f>
        <v>46.2</v>
      </c>
      <c r="E62" s="50" t="n">
        <f aca="false">IFERROR(INDEX($D$6:$D$57,MATCH($A62,$A$6:$A$57,0))*$B62/100,"")</f>
        <v>2.8</v>
      </c>
      <c r="F62" s="50" t="n">
        <f aca="false">IFERROR(INDEX($E$6:$E$57,MATCH($A62,$A$6:$A$57,0))*$B62/100,"")</f>
        <v>0</v>
      </c>
    </row>
    <row r="63" customFormat="false" ht="15" hidden="false" customHeight="false" outlineLevel="0" collapsed="false">
      <c r="A63" s="49"/>
      <c r="B63" s="17"/>
      <c r="C63" s="42" t="str">
        <f aca="false">IFERROR(INDEX($B$6:$B$57,MATCH($A63,$A$6:$A$57,0))*$B63/100,"")</f>
        <v/>
      </c>
      <c r="D63" s="50" t="str">
        <f aca="false">IFERROR(INDEX($C$6:$C$57,MATCH($A63,$A$6:$A$57,0))*$B63/100,"")</f>
        <v/>
      </c>
      <c r="E63" s="50" t="str">
        <f aca="false">IFERROR(INDEX($D$6:$D$57,MATCH($A63,$A$6:$A$57,0))*$B63/100,"")</f>
        <v/>
      </c>
      <c r="F63" s="50" t="str">
        <f aca="false">IFERROR(INDEX($E$6:$E$57,MATCH($A63,$A$6:$A$57,0))*$B63/100,"")</f>
        <v/>
      </c>
    </row>
    <row r="64" customFormat="false" ht="15" hidden="false" customHeight="false" outlineLevel="0" collapsed="false">
      <c r="A64" s="49"/>
      <c r="B64" s="17"/>
      <c r="C64" s="42" t="str">
        <f aca="false">IFERROR(INDEX($B$6:$B$57,MATCH($A64,$A$6:$A$57,0))*$B64/100,"")</f>
        <v/>
      </c>
      <c r="D64" s="50" t="str">
        <f aca="false">IFERROR(INDEX($C$6:$C$57,MATCH($A64,$A$6:$A$57,0))*$B64/100,"")</f>
        <v/>
      </c>
      <c r="E64" s="50" t="str">
        <f aca="false">IFERROR(INDEX($D$6:$D$57,MATCH($A64,$A$6:$A$57,0))*$B64/100,"")</f>
        <v/>
      </c>
      <c r="F64" s="50" t="str">
        <f aca="false">IFERROR(INDEX($E$6:$E$57,MATCH($A64,$A$6:$A$57,0))*$B64/100,"")</f>
        <v/>
      </c>
    </row>
    <row r="65" customFormat="false" ht="15" hidden="false" customHeight="false" outlineLevel="0" collapsed="false">
      <c r="A65" s="49"/>
      <c r="B65" s="17"/>
      <c r="C65" s="42" t="str">
        <f aca="false">IFERROR(INDEX($B$6:$B$57,MATCH($A65,$A$6:$A$57,0))*$B65/100,"")</f>
        <v/>
      </c>
      <c r="D65" s="50" t="str">
        <f aca="false">IFERROR(INDEX($C$6:$C$57,MATCH($A65,$A$6:$A$57,0))*$B65/100,"")</f>
        <v/>
      </c>
      <c r="E65" s="50" t="str">
        <f aca="false">IFERROR(INDEX($D$6:$D$57,MATCH($A65,$A$6:$A$57,0))*$B65/100,"")</f>
        <v/>
      </c>
      <c r="F65" s="50" t="str">
        <f aca="false">IFERROR(INDEX($E$6:$E$57,MATCH($A65,$A$6:$A$57,0))*$B65/100,"")</f>
        <v/>
      </c>
    </row>
    <row r="66" customFormat="false" ht="15" hidden="false" customHeight="false" outlineLevel="0" collapsed="false">
      <c r="A66" s="49"/>
      <c r="B66" s="17"/>
      <c r="C66" s="42" t="str">
        <f aca="false">IFERROR(INDEX($B$6:$B$57,MATCH($A66,$A$6:$A$57,0))*$B66/100,"")</f>
        <v/>
      </c>
      <c r="D66" s="50" t="str">
        <f aca="false">IFERROR(INDEX($C$6:$C$57,MATCH($A66,$A$6:$A$57,0))*$B66/100,"")</f>
        <v/>
      </c>
      <c r="E66" s="50" t="str">
        <f aca="false">IFERROR(INDEX($D$6:$D$57,MATCH($A66,$A$6:$A$57,0))*$B66/100,"")</f>
        <v/>
      </c>
      <c r="F66" s="50" t="str">
        <f aca="false">IFERROR(INDEX($E$6:$E$57,MATCH($A66,$A$6:$A$57,0))*$B66/100,"")</f>
        <v/>
      </c>
    </row>
    <row r="67" customFormat="false" ht="15" hidden="false" customHeight="false" outlineLevel="0" collapsed="false">
      <c r="A67" s="49"/>
      <c r="B67" s="17"/>
      <c r="C67" s="42" t="str">
        <f aca="false">IFERROR(INDEX($B$6:$B$57,MATCH($A67,$A$6:$A$57,0))*$B67/100,"")</f>
        <v/>
      </c>
      <c r="D67" s="50" t="str">
        <f aca="false">IFERROR(INDEX($C$6:$C$57,MATCH($A67,$A$6:$A$57,0))*$B67/100,"")</f>
        <v/>
      </c>
      <c r="E67" s="50" t="str">
        <f aca="false">IFERROR(INDEX($D$6:$D$57,MATCH($A67,$A$6:$A$57,0))*$B67/100,"")</f>
        <v/>
      </c>
      <c r="F67" s="50" t="str">
        <f aca="false">IFERROR(INDEX($E$6:$E$57,MATCH($A67,$A$6:$A$57,0))*$B67/100,"")</f>
        <v/>
      </c>
    </row>
    <row r="68" customFormat="false" ht="15" hidden="false" customHeight="false" outlineLevel="0" collapsed="false">
      <c r="A68" s="49"/>
      <c r="B68" s="17"/>
      <c r="C68" s="42" t="str">
        <f aca="false">IFERROR(INDEX($B$6:$B$57,MATCH($A68,$A$6:$A$57,0))*$B68/100,"")</f>
        <v/>
      </c>
      <c r="D68" s="50" t="str">
        <f aca="false">IFERROR(INDEX($C$6:$C$57,MATCH($A68,$A$6:$A$57,0))*$B68/100,"")</f>
        <v/>
      </c>
      <c r="E68" s="50" t="str">
        <f aca="false">IFERROR(INDEX($D$6:$D$57,MATCH($A68,$A$6:$A$57,0))*$B68/100,"")</f>
        <v/>
      </c>
      <c r="F68" s="50" t="str">
        <f aca="false">IFERROR(INDEX($E$6:$E$57,MATCH($A68,$A$6:$A$57,0))*$B68/100,"")</f>
        <v/>
      </c>
    </row>
    <row r="69" customFormat="false" ht="15" hidden="false" customHeight="false" outlineLevel="0" collapsed="false">
      <c r="A69" s="49"/>
      <c r="B69" s="17"/>
      <c r="C69" s="42" t="str">
        <f aca="false">IFERROR(INDEX($B$6:$B$57,MATCH($A69,$A$6:$A$57,0))*$B69/100,"")</f>
        <v/>
      </c>
      <c r="D69" s="50" t="str">
        <f aca="false">IFERROR(INDEX($C$6:$C$57,MATCH($A69,$A$6:$A$57,0))*$B69/100,"")</f>
        <v/>
      </c>
      <c r="E69" s="50" t="str">
        <f aca="false">IFERROR(INDEX($D$6:$D$57,MATCH($A69,$A$6:$A$57,0))*$B69/100,"")</f>
        <v/>
      </c>
      <c r="F69" s="50" t="str">
        <f aca="false">IFERROR(INDEX($E$6:$E$57,MATCH($A69,$A$6:$A$57,0))*$B69/100,"")</f>
        <v/>
      </c>
    </row>
    <row r="70" customFormat="false" ht="15" hidden="false" customHeight="false" outlineLevel="0" collapsed="false">
      <c r="A70" s="49"/>
      <c r="B70" s="17"/>
      <c r="C70" s="42" t="str">
        <f aca="false">IFERROR(INDEX($B$6:$B$57,MATCH($A70,$A$6:$A$57,0))*$B70/100,"")</f>
        <v/>
      </c>
      <c r="D70" s="50" t="str">
        <f aca="false">IFERROR(INDEX($C$6:$C$57,MATCH($A70,$A$6:$A$57,0))*$B70/100,"")</f>
        <v/>
      </c>
      <c r="E70" s="50" t="str">
        <f aca="false">IFERROR(INDEX($D$6:$D$57,MATCH($A70,$A$6:$A$57,0))*$B70/100,"")</f>
        <v/>
      </c>
      <c r="F70" s="50" t="str">
        <f aca="false">IFERROR(INDEX($E$6:$E$57,MATCH($A70,$A$6:$A$57,0))*$B70/100,"")</f>
        <v/>
      </c>
    </row>
    <row r="71" customFormat="false" ht="15" hidden="false" customHeight="false" outlineLevel="0" collapsed="false">
      <c r="A71" s="49"/>
      <c r="B71" s="17"/>
      <c r="C71" s="42" t="str">
        <f aca="false">IFERROR(INDEX($B$6:$B$57,MATCH($A71,$A$6:$A$57,0))*$B71/100,"")</f>
        <v/>
      </c>
      <c r="D71" s="50" t="str">
        <f aca="false">IFERROR(INDEX($C$6:$C$57,MATCH($A71,$A$6:$A$57,0))*$B71/100,"")</f>
        <v/>
      </c>
      <c r="E71" s="50" t="str">
        <f aca="false">IFERROR(INDEX($D$6:$D$57,MATCH($A71,$A$6:$A$57,0))*$B71/100,"")</f>
        <v/>
      </c>
      <c r="F71" s="50" t="str">
        <f aca="false">IFERROR(INDEX($E$6:$E$57,MATCH($A71,$A$6:$A$57,0))*$B71/100,"")</f>
        <v/>
      </c>
    </row>
    <row r="72" customFormat="false" ht="15" hidden="false" customHeight="false" outlineLevel="0" collapsed="false">
      <c r="A72" s="49"/>
      <c r="B72" s="17"/>
      <c r="C72" s="42" t="str">
        <f aca="false">IFERROR(INDEX($B$6:$B$57,MATCH($A72,$A$6:$A$57,0))*$B72/100,"")</f>
        <v/>
      </c>
      <c r="D72" s="50" t="str">
        <f aca="false">IFERROR(INDEX($C$6:$C$57,MATCH($A72,$A$6:$A$57,0))*$B72/100,"")</f>
        <v/>
      </c>
      <c r="E72" s="50" t="str">
        <f aca="false">IFERROR(INDEX($D$6:$D$57,MATCH($A72,$A$6:$A$57,0))*$B72/100,"")</f>
        <v/>
      </c>
      <c r="F72" s="50" t="str">
        <f aca="false">IFERROR(INDEX($E$6:$E$57,MATCH($A72,$A$6:$A$57,0))*$B72/100,"")</f>
        <v/>
      </c>
    </row>
    <row r="73" customFormat="false" ht="15" hidden="false" customHeight="false" outlineLevel="0" collapsed="false">
      <c r="A73" s="49"/>
      <c r="B73" s="17"/>
      <c r="C73" s="42" t="str">
        <f aca="false">IFERROR(INDEX($B$6:$B$57,MATCH($A73,$A$6:$A$57,0))*$B73/100,"")</f>
        <v/>
      </c>
      <c r="D73" s="50" t="str">
        <f aca="false">IFERROR(INDEX($C$6:$C$57,MATCH($A73,$A$6:$A$57,0))*$B73/100,"")</f>
        <v/>
      </c>
      <c r="E73" s="50" t="str">
        <f aca="false">IFERROR(INDEX($D$6:$D$57,MATCH($A73,$A$6:$A$57,0))*$B73/100,"")</f>
        <v/>
      </c>
      <c r="F73" s="50" t="str">
        <f aca="false">IFERROR(INDEX($E$6:$E$57,MATCH($A73,$A$6:$A$57,0))*$B73/100,"")</f>
        <v/>
      </c>
    </row>
    <row r="74" customFormat="false" ht="15" hidden="false" customHeight="false" outlineLevel="0" collapsed="false">
      <c r="A74" s="49"/>
      <c r="B74" s="17"/>
      <c r="C74" s="42" t="str">
        <f aca="false">IFERROR(INDEX($B$6:$B$57,MATCH($A74,$A$6:$A$57,0))*$B74/100,"")</f>
        <v/>
      </c>
      <c r="D74" s="50" t="str">
        <f aca="false">IFERROR(INDEX($C$6:$C$57,MATCH($A74,$A$6:$A$57,0))*$B74/100,"")</f>
        <v/>
      </c>
      <c r="E74" s="50" t="str">
        <f aca="false">IFERROR(INDEX($D$6:$D$57,MATCH($A74,$A$6:$A$57,0))*$B74/100,"")</f>
        <v/>
      </c>
      <c r="F74" s="50" t="str">
        <f aca="false">IFERROR(INDEX($E$6:$E$57,MATCH($A74,$A$6:$A$57,0))*$B74/100,"")</f>
        <v/>
      </c>
    </row>
    <row r="75" customFormat="false" ht="15" hidden="false" customHeight="false" outlineLevel="0" collapsed="false">
      <c r="A75" s="49"/>
      <c r="B75" s="17"/>
      <c r="C75" s="42" t="str">
        <f aca="false">IFERROR(INDEX($B$6:$B$57,MATCH($A75,$A$6:$A$57,0))*$B75/100,"")</f>
        <v/>
      </c>
      <c r="D75" s="50" t="str">
        <f aca="false">IFERROR(INDEX($C$6:$C$57,MATCH($A75,$A$6:$A$57,0))*$B75/100,"")</f>
        <v/>
      </c>
      <c r="E75" s="50" t="str">
        <f aca="false">IFERROR(INDEX($D$6:$D$57,MATCH($A75,$A$6:$A$57,0))*$B75/100,"")</f>
        <v/>
      </c>
      <c r="F75" s="50" t="str">
        <f aca="false">IFERROR(INDEX($E$6:$E$57,MATCH($A75,$A$6:$A$57,0))*$B75/100,"")</f>
        <v/>
      </c>
    </row>
    <row r="76" customFormat="false" ht="15" hidden="false" customHeight="false" outlineLevel="0" collapsed="false">
      <c r="A76" s="8" t="s">
        <v>146</v>
      </c>
      <c r="C76" s="45" t="n">
        <f aca="false">SUM(C62:C75)</f>
        <v>212</v>
      </c>
      <c r="D76" s="45" t="n">
        <f aca="false">SUM(D62:D75)</f>
        <v>46.2</v>
      </c>
      <c r="E76" s="45" t="n">
        <f aca="false">SUM(E62:E75)</f>
        <v>2.8</v>
      </c>
      <c r="F76" s="45" t="n">
        <f aca="false">SUM(F62:F75)</f>
        <v>0</v>
      </c>
    </row>
    <row r="77" customFormat="false" ht="15" hidden="false" customHeight="false" outlineLevel="0" collapsed="false">
      <c r="A77" s="51" t="s">
        <v>205</v>
      </c>
      <c r="C77" s="52" t="n">
        <f aca="false">Rechenweg!C37</f>
        <v>3264.85182012848</v>
      </c>
      <c r="D77" s="52" t="n">
        <f aca="false">Rechenweg!C41</f>
        <v>147.6</v>
      </c>
      <c r="E77" s="52" t="n">
        <f aca="false">Rechenweg!C42</f>
        <v>82</v>
      </c>
      <c r="F77" s="52" t="n">
        <f aca="false">Rechenweg!C43</f>
        <v>484.11295503212</v>
      </c>
    </row>
    <row r="78" customFormat="false" ht="15" hidden="false" customHeight="false" outlineLevel="0" collapsed="false">
      <c r="A78" s="8" t="s">
        <v>206</v>
      </c>
      <c r="C78" s="53" t="n">
        <f aca="false">C76-C77</f>
        <v>-3052.85182012848</v>
      </c>
      <c r="D78" s="53" t="n">
        <f aca="false">D76-D77</f>
        <v>-101.4</v>
      </c>
      <c r="E78" s="53" t="n">
        <f aca="false">E76-E77</f>
        <v>-79.2</v>
      </c>
      <c r="F78" s="53" t="n">
        <f aca="false">F76-F77</f>
        <v>-484.11295503212</v>
      </c>
    </row>
    <row r="80" customFormat="false" ht="15" hidden="false" customHeight="false" outlineLevel="0" collapsed="false">
      <c r="A80" s="29" t="s">
        <v>207</v>
      </c>
    </row>
    <row r="82" customFormat="false" ht="15" hidden="false" customHeight="false" outlineLevel="0" collapsed="false">
      <c r="A82" s="10" t="s">
        <v>31</v>
      </c>
      <c r="B82" s="11"/>
      <c r="C82" s="11"/>
      <c r="D82" s="11"/>
      <c r="E82" s="11"/>
      <c r="F82" s="11"/>
    </row>
  </sheetData>
  <sheetProtection sheet="true" formatCells="false" selectLockedCells="true" selectUnlockedCells="true"/>
  <dataValidations count="1">
    <dataValidation allowBlank="true" errorStyle="stop" operator="between" showDropDown="false" showErrorMessage="false" showInputMessage="false" sqref="A62:A75" type="list">
      <formula1>$A$6:$A$57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4" min="2" style="0" width="14"/>
    <col collapsed="false" customWidth="true" hidden="false" outlineLevel="0" max="5" min="5" style="0" width="16"/>
  </cols>
  <sheetData>
    <row r="1" customFormat="false" ht="25.5" hidden="false" customHeight="true" outlineLevel="0" collapsed="false">
      <c r="A1" s="1" t="s">
        <v>208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209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27" t="s">
        <v>210</v>
      </c>
    </row>
    <row r="6" customFormat="false" ht="15" hidden="false" customHeight="false" outlineLevel="0" collapsed="false">
      <c r="A6" s="38" t="s">
        <v>211</v>
      </c>
      <c r="B6" s="38" t="s">
        <v>212</v>
      </c>
      <c r="C6" s="38" t="s">
        <v>213</v>
      </c>
      <c r="D6" s="38" t="s">
        <v>214</v>
      </c>
      <c r="E6" s="38" t="s">
        <v>215</v>
      </c>
    </row>
    <row r="7" customFormat="false" ht="15" hidden="false" customHeight="false" outlineLevel="0" collapsed="false">
      <c r="A7" s="54" t="n">
        <v>1</v>
      </c>
      <c r="B7" s="55"/>
      <c r="C7" s="18" t="n">
        <v>82.4</v>
      </c>
      <c r="D7" s="17" t="n">
        <v>2100</v>
      </c>
      <c r="E7" s="56" t="str">
        <f aca="false">""</f>
        <v/>
      </c>
    </row>
    <row r="8" customFormat="false" ht="15" hidden="false" customHeight="false" outlineLevel="0" collapsed="false">
      <c r="A8" s="54" t="n">
        <v>2</v>
      </c>
      <c r="B8" s="55"/>
      <c r="C8" s="18"/>
      <c r="D8" s="17"/>
      <c r="E8" s="56" t="str">
        <f aca="false">""</f>
        <v/>
      </c>
    </row>
    <row r="9" customFormat="false" ht="15" hidden="false" customHeight="false" outlineLevel="0" collapsed="false">
      <c r="A9" s="54" t="n">
        <v>3</v>
      </c>
      <c r="B9" s="55"/>
      <c r="C9" s="18"/>
      <c r="D9" s="17"/>
      <c r="E9" s="56" t="str">
        <f aca="false">""</f>
        <v/>
      </c>
    </row>
    <row r="10" customFormat="false" ht="15" hidden="false" customHeight="false" outlineLevel="0" collapsed="false">
      <c r="A10" s="54" t="n">
        <v>4</v>
      </c>
      <c r="B10" s="55"/>
      <c r="C10" s="18"/>
      <c r="D10" s="17"/>
      <c r="E10" s="56" t="str">
        <f aca="false">""</f>
        <v/>
      </c>
    </row>
    <row r="11" customFormat="false" ht="15" hidden="false" customHeight="false" outlineLevel="0" collapsed="false">
      <c r="A11" s="54" t="n">
        <v>5</v>
      </c>
      <c r="B11" s="55"/>
      <c r="C11" s="18"/>
      <c r="D11" s="17"/>
      <c r="E11" s="56" t="str">
        <f aca="false">""</f>
        <v/>
      </c>
    </row>
    <row r="12" customFormat="false" ht="15" hidden="false" customHeight="false" outlineLevel="0" collapsed="false">
      <c r="A12" s="54" t="n">
        <v>6</v>
      </c>
      <c r="B12" s="55"/>
      <c r="C12" s="18"/>
      <c r="D12" s="17"/>
      <c r="E12" s="56" t="str">
        <f aca="false">""</f>
        <v/>
      </c>
    </row>
    <row r="13" customFormat="false" ht="15" hidden="false" customHeight="false" outlineLevel="0" collapsed="false">
      <c r="A13" s="54" t="n">
        <v>7</v>
      </c>
      <c r="B13" s="55"/>
      <c r="C13" s="18"/>
      <c r="D13" s="17"/>
      <c r="E13" s="56" t="str">
        <f aca="false">IF(COUNT(C7:C13)&lt;7,"",AVERAGE(C7:C13))</f>
        <v/>
      </c>
    </row>
    <row r="14" customFormat="false" ht="15" hidden="false" customHeight="false" outlineLevel="0" collapsed="false">
      <c r="A14" s="54" t="n">
        <v>8</v>
      </c>
      <c r="B14" s="55"/>
      <c r="C14" s="18"/>
      <c r="D14" s="17"/>
      <c r="E14" s="56" t="str">
        <f aca="false">IF(COUNT(C8:C14)&lt;7,"",AVERAGE(C8:C14))</f>
        <v/>
      </c>
    </row>
    <row r="15" customFormat="false" ht="15" hidden="false" customHeight="false" outlineLevel="0" collapsed="false">
      <c r="A15" s="54" t="n">
        <v>9</v>
      </c>
      <c r="B15" s="55"/>
      <c r="C15" s="18"/>
      <c r="D15" s="17"/>
      <c r="E15" s="56" t="str">
        <f aca="false">IF(COUNT(C9:C15)&lt;7,"",AVERAGE(C9:C15))</f>
        <v/>
      </c>
    </row>
    <row r="16" customFormat="false" ht="15" hidden="false" customHeight="false" outlineLevel="0" collapsed="false">
      <c r="A16" s="54" t="n">
        <v>10</v>
      </c>
      <c r="B16" s="55"/>
      <c r="C16" s="18"/>
      <c r="D16" s="17"/>
      <c r="E16" s="56" t="str">
        <f aca="false">IF(COUNT(C10:C16)&lt;7,"",AVERAGE(C10:C16))</f>
        <v/>
      </c>
    </row>
    <row r="17" customFormat="false" ht="15" hidden="false" customHeight="false" outlineLevel="0" collapsed="false">
      <c r="A17" s="54" t="n">
        <v>11</v>
      </c>
      <c r="B17" s="55"/>
      <c r="C17" s="18"/>
      <c r="D17" s="17"/>
      <c r="E17" s="56" t="str">
        <f aca="false">IF(COUNT(C11:C17)&lt;7,"",AVERAGE(C11:C17))</f>
        <v/>
      </c>
    </row>
    <row r="18" customFormat="false" ht="15" hidden="false" customHeight="false" outlineLevel="0" collapsed="false">
      <c r="A18" s="54" t="n">
        <v>12</v>
      </c>
      <c r="B18" s="55"/>
      <c r="C18" s="18"/>
      <c r="D18" s="17"/>
      <c r="E18" s="56" t="str">
        <f aca="false">IF(COUNT(C12:C18)&lt;7,"",AVERAGE(C12:C18))</f>
        <v/>
      </c>
    </row>
    <row r="19" customFormat="false" ht="15" hidden="false" customHeight="false" outlineLevel="0" collapsed="false">
      <c r="A19" s="54" t="n">
        <v>13</v>
      </c>
      <c r="B19" s="55"/>
      <c r="C19" s="18"/>
      <c r="D19" s="17"/>
      <c r="E19" s="56" t="str">
        <f aca="false">IF(COUNT(C13:C19)&lt;7,"",AVERAGE(C13:C19))</f>
        <v/>
      </c>
    </row>
    <row r="20" customFormat="false" ht="15" hidden="false" customHeight="false" outlineLevel="0" collapsed="false">
      <c r="A20" s="54" t="n">
        <v>14</v>
      </c>
      <c r="B20" s="55"/>
      <c r="C20" s="18"/>
      <c r="D20" s="17"/>
      <c r="E20" s="56" t="str">
        <f aca="false">IF(COUNT(C14:C20)&lt;7,"",AVERAGE(C14:C20))</f>
        <v/>
      </c>
    </row>
    <row r="21" customFormat="false" ht="15" hidden="false" customHeight="false" outlineLevel="0" collapsed="false">
      <c r="A21" s="54" t="n">
        <v>15</v>
      </c>
      <c r="B21" s="55"/>
      <c r="C21" s="18"/>
      <c r="D21" s="17"/>
      <c r="E21" s="56" t="str">
        <f aca="false">IF(COUNT(C15:C21)&lt;7,"",AVERAGE(C15:C21))</f>
        <v/>
      </c>
    </row>
    <row r="22" customFormat="false" ht="15" hidden="false" customHeight="false" outlineLevel="0" collapsed="false">
      <c r="A22" s="54" t="n">
        <v>16</v>
      </c>
      <c r="B22" s="55"/>
      <c r="C22" s="18"/>
      <c r="D22" s="17"/>
      <c r="E22" s="56" t="str">
        <f aca="false">IF(COUNT(C16:C22)&lt;7,"",AVERAGE(C16:C22))</f>
        <v/>
      </c>
    </row>
    <row r="23" customFormat="false" ht="15" hidden="false" customHeight="false" outlineLevel="0" collapsed="false">
      <c r="A23" s="54" t="n">
        <v>17</v>
      </c>
      <c r="B23" s="55"/>
      <c r="C23" s="18"/>
      <c r="D23" s="17"/>
      <c r="E23" s="56" t="str">
        <f aca="false">IF(COUNT(C17:C23)&lt;7,"",AVERAGE(C17:C23))</f>
        <v/>
      </c>
    </row>
    <row r="24" customFormat="false" ht="15" hidden="false" customHeight="false" outlineLevel="0" collapsed="false">
      <c r="A24" s="54" t="n">
        <v>18</v>
      </c>
      <c r="B24" s="55"/>
      <c r="C24" s="18"/>
      <c r="D24" s="17"/>
      <c r="E24" s="56" t="str">
        <f aca="false">IF(COUNT(C18:C24)&lt;7,"",AVERAGE(C18:C24))</f>
        <v/>
      </c>
    </row>
    <row r="25" customFormat="false" ht="15" hidden="false" customHeight="false" outlineLevel="0" collapsed="false">
      <c r="A25" s="54" t="n">
        <v>19</v>
      </c>
      <c r="B25" s="55"/>
      <c r="C25" s="18"/>
      <c r="D25" s="17"/>
      <c r="E25" s="56" t="str">
        <f aca="false">IF(COUNT(C19:C25)&lt;7,"",AVERAGE(C19:C25))</f>
        <v/>
      </c>
    </row>
    <row r="26" customFormat="false" ht="15" hidden="false" customHeight="false" outlineLevel="0" collapsed="false">
      <c r="A26" s="54" t="n">
        <v>20</v>
      </c>
      <c r="B26" s="55"/>
      <c r="C26" s="18"/>
      <c r="D26" s="17"/>
      <c r="E26" s="56" t="str">
        <f aca="false">IF(COUNT(C20:C26)&lt;7,"",AVERAGE(C20:C26))</f>
        <v/>
      </c>
    </row>
    <row r="27" customFormat="false" ht="15" hidden="false" customHeight="false" outlineLevel="0" collapsed="false">
      <c r="A27" s="54" t="n">
        <v>21</v>
      </c>
      <c r="B27" s="55"/>
      <c r="C27" s="18"/>
      <c r="D27" s="17"/>
      <c r="E27" s="56" t="str">
        <f aca="false">IF(COUNT(C21:C27)&lt;7,"",AVERAGE(C21:C27))</f>
        <v/>
      </c>
    </row>
    <row r="28" customFormat="false" ht="15" hidden="false" customHeight="false" outlineLevel="0" collapsed="false">
      <c r="A28" s="54" t="n">
        <v>22</v>
      </c>
      <c r="B28" s="55"/>
      <c r="C28" s="18"/>
      <c r="D28" s="17"/>
      <c r="E28" s="56" t="str">
        <f aca="false">IF(COUNT(C22:C28)&lt;7,"",AVERAGE(C22:C28))</f>
        <v/>
      </c>
    </row>
    <row r="29" customFormat="false" ht="15" hidden="false" customHeight="false" outlineLevel="0" collapsed="false">
      <c r="A29" s="54" t="n">
        <v>23</v>
      </c>
      <c r="B29" s="55"/>
      <c r="C29" s="18"/>
      <c r="D29" s="17"/>
      <c r="E29" s="56" t="str">
        <f aca="false">IF(COUNT(C23:C29)&lt;7,"",AVERAGE(C23:C29))</f>
        <v/>
      </c>
    </row>
    <row r="30" customFormat="false" ht="15" hidden="false" customHeight="false" outlineLevel="0" collapsed="false">
      <c r="A30" s="54" t="n">
        <v>24</v>
      </c>
      <c r="B30" s="55"/>
      <c r="C30" s="18"/>
      <c r="D30" s="17"/>
      <c r="E30" s="56" t="str">
        <f aca="false">IF(COUNT(C24:C30)&lt;7,"",AVERAGE(C24:C30))</f>
        <v/>
      </c>
    </row>
    <row r="31" customFormat="false" ht="15" hidden="false" customHeight="false" outlineLevel="0" collapsed="false">
      <c r="A31" s="54" t="n">
        <v>25</v>
      </c>
      <c r="B31" s="55"/>
      <c r="C31" s="18"/>
      <c r="D31" s="17"/>
      <c r="E31" s="56" t="str">
        <f aca="false">IF(COUNT(C25:C31)&lt;7,"",AVERAGE(C25:C31))</f>
        <v/>
      </c>
    </row>
    <row r="32" customFormat="false" ht="15" hidden="false" customHeight="false" outlineLevel="0" collapsed="false">
      <c r="A32" s="54" t="n">
        <v>26</v>
      </c>
      <c r="B32" s="55"/>
      <c r="C32" s="18"/>
      <c r="D32" s="17"/>
      <c r="E32" s="56" t="str">
        <f aca="false">IF(COUNT(C26:C32)&lt;7,"",AVERAGE(C26:C32))</f>
        <v/>
      </c>
    </row>
    <row r="33" customFormat="false" ht="15" hidden="false" customHeight="false" outlineLevel="0" collapsed="false">
      <c r="A33" s="54" t="n">
        <v>27</v>
      </c>
      <c r="B33" s="55"/>
      <c r="C33" s="18"/>
      <c r="D33" s="17"/>
      <c r="E33" s="56" t="str">
        <f aca="false">IF(COUNT(C27:C33)&lt;7,"",AVERAGE(C27:C33))</f>
        <v/>
      </c>
    </row>
    <row r="34" customFormat="false" ht="15" hidden="false" customHeight="false" outlineLevel="0" collapsed="false">
      <c r="A34" s="54" t="n">
        <v>28</v>
      </c>
      <c r="B34" s="55"/>
      <c r="C34" s="18"/>
      <c r="D34" s="17"/>
      <c r="E34" s="56" t="str">
        <f aca="false">IF(COUNT(C28:C34)&lt;7,"",AVERAGE(C28:C34))</f>
        <v/>
      </c>
    </row>
    <row r="35" customFormat="false" ht="15" hidden="false" customHeight="false" outlineLevel="0" collapsed="false">
      <c r="A35" s="54" t="n">
        <v>29</v>
      </c>
      <c r="B35" s="55"/>
      <c r="C35" s="18"/>
      <c r="D35" s="17"/>
      <c r="E35" s="56" t="str">
        <f aca="false">IF(COUNT(C29:C35)&lt;7,"",AVERAGE(C29:C35))</f>
        <v/>
      </c>
    </row>
    <row r="36" customFormat="false" ht="15" hidden="false" customHeight="false" outlineLevel="0" collapsed="false">
      <c r="A36" s="54" t="n">
        <v>30</v>
      </c>
      <c r="B36" s="55"/>
      <c r="C36" s="18"/>
      <c r="D36" s="17"/>
      <c r="E36" s="56" t="str">
        <f aca="false">IF(COUNT(C30:C36)&lt;7,"",AVERAGE(C30:C36))</f>
        <v/>
      </c>
    </row>
    <row r="37" customFormat="false" ht="15" hidden="false" customHeight="false" outlineLevel="0" collapsed="false">
      <c r="A37" s="54" t="n">
        <v>31</v>
      </c>
      <c r="B37" s="55"/>
      <c r="C37" s="18"/>
      <c r="D37" s="17"/>
      <c r="E37" s="56" t="str">
        <f aca="false">IF(COUNT(C31:C37)&lt;7,"",AVERAGE(C31:C37))</f>
        <v/>
      </c>
    </row>
    <row r="38" customFormat="false" ht="15" hidden="false" customHeight="false" outlineLevel="0" collapsed="false">
      <c r="A38" s="54" t="n">
        <v>32</v>
      </c>
      <c r="B38" s="55"/>
      <c r="C38" s="18"/>
      <c r="D38" s="17"/>
      <c r="E38" s="56" t="str">
        <f aca="false">IF(COUNT(C32:C38)&lt;7,"",AVERAGE(C32:C38))</f>
        <v/>
      </c>
    </row>
    <row r="39" customFormat="false" ht="15" hidden="false" customHeight="false" outlineLevel="0" collapsed="false">
      <c r="A39" s="54" t="n">
        <v>33</v>
      </c>
      <c r="B39" s="55"/>
      <c r="C39" s="18"/>
      <c r="D39" s="17"/>
      <c r="E39" s="56" t="str">
        <f aca="false">IF(COUNT(C33:C39)&lt;7,"",AVERAGE(C33:C39))</f>
        <v/>
      </c>
    </row>
    <row r="40" customFormat="false" ht="15" hidden="false" customHeight="false" outlineLevel="0" collapsed="false">
      <c r="A40" s="54" t="n">
        <v>34</v>
      </c>
      <c r="B40" s="55"/>
      <c r="C40" s="18"/>
      <c r="D40" s="17"/>
      <c r="E40" s="56" t="str">
        <f aca="false">IF(COUNT(C34:C40)&lt;7,"",AVERAGE(C34:C40))</f>
        <v/>
      </c>
    </row>
    <row r="41" customFormat="false" ht="15" hidden="false" customHeight="false" outlineLevel="0" collapsed="false">
      <c r="A41" s="54" t="n">
        <v>35</v>
      </c>
      <c r="B41" s="55"/>
      <c r="C41" s="18"/>
      <c r="D41" s="17"/>
      <c r="E41" s="56" t="str">
        <f aca="false">IF(COUNT(C35:C41)&lt;7,"",AVERAGE(C35:C41))</f>
        <v/>
      </c>
    </row>
    <row r="42" customFormat="false" ht="15" hidden="false" customHeight="false" outlineLevel="0" collapsed="false">
      <c r="A42" s="54" t="n">
        <v>36</v>
      </c>
      <c r="B42" s="55"/>
      <c r="C42" s="18"/>
      <c r="D42" s="17"/>
      <c r="E42" s="56" t="str">
        <f aca="false">IF(COUNT(C36:C42)&lt;7,"",AVERAGE(C36:C42))</f>
        <v/>
      </c>
    </row>
    <row r="43" customFormat="false" ht="15" hidden="false" customHeight="false" outlineLevel="0" collapsed="false">
      <c r="A43" s="54" t="n">
        <v>37</v>
      </c>
      <c r="B43" s="55"/>
      <c r="C43" s="18"/>
      <c r="D43" s="17"/>
      <c r="E43" s="56" t="str">
        <f aca="false">IF(COUNT(C37:C43)&lt;7,"",AVERAGE(C37:C43))</f>
        <v/>
      </c>
    </row>
    <row r="44" customFormat="false" ht="15" hidden="false" customHeight="false" outlineLevel="0" collapsed="false">
      <c r="A44" s="54" t="n">
        <v>38</v>
      </c>
      <c r="B44" s="55"/>
      <c r="C44" s="18"/>
      <c r="D44" s="17"/>
      <c r="E44" s="56" t="str">
        <f aca="false">IF(COUNT(C38:C44)&lt;7,"",AVERAGE(C38:C44))</f>
        <v/>
      </c>
    </row>
    <row r="45" customFormat="false" ht="15" hidden="false" customHeight="false" outlineLevel="0" collapsed="false">
      <c r="A45" s="54" t="n">
        <v>39</v>
      </c>
      <c r="B45" s="55"/>
      <c r="C45" s="18"/>
      <c r="D45" s="17"/>
      <c r="E45" s="56" t="str">
        <f aca="false">IF(COUNT(C39:C45)&lt;7,"",AVERAGE(C39:C45))</f>
        <v/>
      </c>
    </row>
    <row r="46" customFormat="false" ht="15" hidden="false" customHeight="false" outlineLevel="0" collapsed="false">
      <c r="A46" s="54" t="n">
        <v>40</v>
      </c>
      <c r="B46" s="55"/>
      <c r="C46" s="18"/>
      <c r="D46" s="17"/>
      <c r="E46" s="56" t="str">
        <f aca="false">IF(COUNT(C40:C46)&lt;7,"",AVERAGE(C40:C46))</f>
        <v/>
      </c>
    </row>
    <row r="47" customFormat="false" ht="15" hidden="false" customHeight="false" outlineLevel="0" collapsed="false">
      <c r="A47" s="54" t="n">
        <v>41</v>
      </c>
      <c r="B47" s="55"/>
      <c r="C47" s="18"/>
      <c r="D47" s="17"/>
      <c r="E47" s="56" t="str">
        <f aca="false">IF(COUNT(C41:C47)&lt;7,"",AVERAGE(C41:C47))</f>
        <v/>
      </c>
    </row>
    <row r="48" customFormat="false" ht="15" hidden="false" customHeight="false" outlineLevel="0" collapsed="false">
      <c r="A48" s="54" t="n">
        <v>42</v>
      </c>
      <c r="B48" s="55"/>
      <c r="C48" s="18"/>
      <c r="D48" s="17"/>
      <c r="E48" s="56" t="str">
        <f aca="false">IF(COUNT(C42:C48)&lt;7,"",AVERAGE(C42:C48))</f>
        <v/>
      </c>
    </row>
    <row r="49" customFormat="false" ht="15" hidden="false" customHeight="false" outlineLevel="0" collapsed="false">
      <c r="A49" s="54" t="n">
        <v>43</v>
      </c>
      <c r="B49" s="55"/>
      <c r="C49" s="18"/>
      <c r="D49" s="17"/>
      <c r="E49" s="56" t="str">
        <f aca="false">IF(COUNT(C43:C49)&lt;7,"",AVERAGE(C43:C49))</f>
        <v/>
      </c>
    </row>
    <row r="50" customFormat="false" ht="15" hidden="false" customHeight="false" outlineLevel="0" collapsed="false">
      <c r="A50" s="54" t="n">
        <v>44</v>
      </c>
      <c r="B50" s="55"/>
      <c r="C50" s="18"/>
      <c r="D50" s="17"/>
      <c r="E50" s="56" t="str">
        <f aca="false">IF(COUNT(C44:C50)&lt;7,"",AVERAGE(C44:C50))</f>
        <v/>
      </c>
    </row>
    <row r="51" customFormat="false" ht="15" hidden="false" customHeight="false" outlineLevel="0" collapsed="false">
      <c r="A51" s="54" t="n">
        <v>45</v>
      </c>
      <c r="B51" s="55"/>
      <c r="C51" s="18"/>
      <c r="D51" s="17"/>
      <c r="E51" s="56" t="str">
        <f aca="false">IF(COUNT(C45:C51)&lt;7,"",AVERAGE(C45:C51))</f>
        <v/>
      </c>
    </row>
    <row r="52" customFormat="false" ht="15" hidden="false" customHeight="false" outlineLevel="0" collapsed="false">
      <c r="A52" s="54" t="n">
        <v>46</v>
      </c>
      <c r="B52" s="55"/>
      <c r="C52" s="18"/>
      <c r="D52" s="17"/>
      <c r="E52" s="56" t="str">
        <f aca="false">IF(COUNT(C46:C52)&lt;7,"",AVERAGE(C46:C52))</f>
        <v/>
      </c>
    </row>
    <row r="53" customFormat="false" ht="15" hidden="false" customHeight="false" outlineLevel="0" collapsed="false">
      <c r="A53" s="54" t="n">
        <v>47</v>
      </c>
      <c r="B53" s="55"/>
      <c r="C53" s="18"/>
      <c r="D53" s="17"/>
      <c r="E53" s="56" t="str">
        <f aca="false">IF(COUNT(C47:C53)&lt;7,"",AVERAGE(C47:C53))</f>
        <v/>
      </c>
    </row>
    <row r="54" customFormat="false" ht="15" hidden="false" customHeight="false" outlineLevel="0" collapsed="false">
      <c r="A54" s="54" t="n">
        <v>48</v>
      </c>
      <c r="B54" s="55"/>
      <c r="C54" s="18"/>
      <c r="D54" s="17"/>
      <c r="E54" s="56" t="str">
        <f aca="false">IF(COUNT(C48:C54)&lt;7,"",AVERAGE(C48:C54))</f>
        <v/>
      </c>
    </row>
    <row r="55" customFormat="false" ht="15" hidden="false" customHeight="false" outlineLevel="0" collapsed="false">
      <c r="A55" s="54" t="n">
        <v>49</v>
      </c>
      <c r="B55" s="55"/>
      <c r="C55" s="18"/>
      <c r="D55" s="17"/>
      <c r="E55" s="56" t="str">
        <f aca="false">IF(COUNT(C49:C55)&lt;7,"",AVERAGE(C49:C55))</f>
        <v/>
      </c>
    </row>
    <row r="56" customFormat="false" ht="15" hidden="false" customHeight="false" outlineLevel="0" collapsed="false">
      <c r="A56" s="54" t="n">
        <v>50</v>
      </c>
      <c r="B56" s="55"/>
      <c r="C56" s="18"/>
      <c r="D56" s="17"/>
      <c r="E56" s="56" t="str">
        <f aca="false">IF(COUNT(C50:C56)&lt;7,"",AVERAGE(C50:C56))</f>
        <v/>
      </c>
    </row>
    <row r="57" customFormat="false" ht="15" hidden="false" customHeight="false" outlineLevel="0" collapsed="false">
      <c r="A57" s="54" t="n">
        <v>51</v>
      </c>
      <c r="B57" s="55"/>
      <c r="C57" s="18"/>
      <c r="D57" s="17"/>
      <c r="E57" s="56" t="str">
        <f aca="false">IF(COUNT(C51:C57)&lt;7,"",AVERAGE(C51:C57))</f>
        <v/>
      </c>
    </row>
    <row r="58" customFormat="false" ht="15" hidden="false" customHeight="false" outlineLevel="0" collapsed="false">
      <c r="A58" s="54" t="n">
        <v>52</v>
      </c>
      <c r="B58" s="55"/>
      <c r="C58" s="18"/>
      <c r="D58" s="17"/>
      <c r="E58" s="56" t="str">
        <f aca="false">IF(COUNT(C52:C58)&lt;7,"",AVERAGE(C52:C58))</f>
        <v/>
      </c>
    </row>
    <row r="59" customFormat="false" ht="15" hidden="false" customHeight="false" outlineLevel="0" collapsed="false">
      <c r="A59" s="54" t="n">
        <v>53</v>
      </c>
      <c r="B59" s="55"/>
      <c r="C59" s="18"/>
      <c r="D59" s="17"/>
      <c r="E59" s="56" t="str">
        <f aca="false">IF(COUNT(C53:C59)&lt;7,"",AVERAGE(C53:C59))</f>
        <v/>
      </c>
    </row>
    <row r="60" customFormat="false" ht="15" hidden="false" customHeight="false" outlineLevel="0" collapsed="false">
      <c r="A60" s="54" t="n">
        <v>54</v>
      </c>
      <c r="B60" s="55"/>
      <c r="C60" s="18"/>
      <c r="D60" s="17"/>
      <c r="E60" s="56" t="str">
        <f aca="false">IF(COUNT(C54:C60)&lt;7,"",AVERAGE(C54:C60))</f>
        <v/>
      </c>
    </row>
    <row r="61" customFormat="false" ht="15" hidden="false" customHeight="false" outlineLevel="0" collapsed="false">
      <c r="A61" s="54" t="n">
        <v>55</v>
      </c>
      <c r="B61" s="55"/>
      <c r="C61" s="18"/>
      <c r="D61" s="17"/>
      <c r="E61" s="56" t="str">
        <f aca="false">IF(COUNT(C55:C61)&lt;7,"",AVERAGE(C55:C61))</f>
        <v/>
      </c>
    </row>
    <row r="62" customFormat="false" ht="15" hidden="false" customHeight="false" outlineLevel="0" collapsed="false">
      <c r="A62" s="54" t="n">
        <v>56</v>
      </c>
      <c r="B62" s="55"/>
      <c r="C62" s="18"/>
      <c r="D62" s="17"/>
      <c r="E62" s="56" t="str">
        <f aca="false">IF(COUNT(C56:C62)&lt;7,"",AVERAGE(C56:C62))</f>
        <v/>
      </c>
    </row>
    <row r="63" customFormat="false" ht="15" hidden="false" customHeight="false" outlineLevel="0" collapsed="false">
      <c r="A63" s="54" t="n">
        <v>57</v>
      </c>
      <c r="B63" s="55"/>
      <c r="C63" s="18"/>
      <c r="D63" s="17"/>
      <c r="E63" s="56" t="str">
        <f aca="false">IF(COUNT(C57:C63)&lt;7,"",AVERAGE(C57:C63))</f>
        <v/>
      </c>
    </row>
    <row r="64" customFormat="false" ht="15" hidden="false" customHeight="false" outlineLevel="0" collapsed="false">
      <c r="A64" s="54" t="n">
        <v>58</v>
      </c>
      <c r="B64" s="55"/>
      <c r="C64" s="18"/>
      <c r="D64" s="17"/>
      <c r="E64" s="56" t="str">
        <f aca="false">IF(COUNT(C58:C64)&lt;7,"",AVERAGE(C58:C64))</f>
        <v/>
      </c>
    </row>
    <row r="65" customFormat="false" ht="15" hidden="false" customHeight="false" outlineLevel="0" collapsed="false">
      <c r="A65" s="54" t="n">
        <v>59</v>
      </c>
      <c r="B65" s="55"/>
      <c r="C65" s="18"/>
      <c r="D65" s="17"/>
      <c r="E65" s="56" t="str">
        <f aca="false">IF(COUNT(C59:C65)&lt;7,"",AVERAGE(C59:C65))</f>
        <v/>
      </c>
    </row>
    <row r="66" customFormat="false" ht="15" hidden="false" customHeight="false" outlineLevel="0" collapsed="false">
      <c r="A66" s="54" t="n">
        <v>60</v>
      </c>
      <c r="B66" s="55"/>
      <c r="C66" s="18"/>
      <c r="D66" s="17"/>
      <c r="E66" s="56" t="str">
        <f aca="false">IF(COUNT(C60:C66)&lt;7,"",AVERAGE(C60:C66))</f>
        <v/>
      </c>
    </row>
    <row r="67" customFormat="false" ht="15" hidden="false" customHeight="false" outlineLevel="0" collapsed="false">
      <c r="A67" s="54" t="n">
        <v>61</v>
      </c>
      <c r="B67" s="55"/>
      <c r="C67" s="18"/>
      <c r="D67" s="17"/>
      <c r="E67" s="56" t="str">
        <f aca="false">IF(COUNT(C61:C67)&lt;7,"",AVERAGE(C61:C67))</f>
        <v/>
      </c>
    </row>
    <row r="68" customFormat="false" ht="15" hidden="false" customHeight="false" outlineLevel="0" collapsed="false">
      <c r="A68" s="54" t="n">
        <v>62</v>
      </c>
      <c r="B68" s="55"/>
      <c r="C68" s="18"/>
      <c r="D68" s="17"/>
      <c r="E68" s="56" t="str">
        <f aca="false">IF(COUNT(C62:C68)&lt;7,"",AVERAGE(C62:C68))</f>
        <v/>
      </c>
    </row>
    <row r="69" customFormat="false" ht="15" hidden="false" customHeight="false" outlineLevel="0" collapsed="false">
      <c r="A69" s="54" t="n">
        <v>63</v>
      </c>
      <c r="B69" s="55"/>
      <c r="C69" s="18"/>
      <c r="D69" s="17"/>
      <c r="E69" s="56" t="str">
        <f aca="false">IF(COUNT(C63:C69)&lt;7,"",AVERAGE(C63:C69))</f>
        <v/>
      </c>
    </row>
    <row r="70" customFormat="false" ht="15" hidden="false" customHeight="false" outlineLevel="0" collapsed="false">
      <c r="A70" s="54" t="n">
        <v>64</v>
      </c>
      <c r="B70" s="55"/>
      <c r="C70" s="18"/>
      <c r="D70" s="17"/>
      <c r="E70" s="56" t="str">
        <f aca="false">IF(COUNT(C64:C70)&lt;7,"",AVERAGE(C64:C70))</f>
        <v/>
      </c>
    </row>
    <row r="71" customFormat="false" ht="15" hidden="false" customHeight="false" outlineLevel="0" collapsed="false">
      <c r="A71" s="54" t="n">
        <v>65</v>
      </c>
      <c r="B71" s="55"/>
      <c r="C71" s="18"/>
      <c r="D71" s="17"/>
      <c r="E71" s="56" t="str">
        <f aca="false">IF(COUNT(C65:C71)&lt;7,"",AVERAGE(C65:C71))</f>
        <v/>
      </c>
    </row>
    <row r="72" customFormat="false" ht="15" hidden="false" customHeight="false" outlineLevel="0" collapsed="false">
      <c r="A72" s="54" t="n">
        <v>66</v>
      </c>
      <c r="B72" s="55"/>
      <c r="C72" s="18"/>
      <c r="D72" s="17"/>
      <c r="E72" s="56" t="str">
        <f aca="false">IF(COUNT(C66:C72)&lt;7,"",AVERAGE(C66:C72))</f>
        <v/>
      </c>
    </row>
    <row r="73" customFormat="false" ht="15" hidden="false" customHeight="false" outlineLevel="0" collapsed="false">
      <c r="A73" s="54" t="n">
        <v>67</v>
      </c>
      <c r="B73" s="55"/>
      <c r="C73" s="18"/>
      <c r="D73" s="17"/>
      <c r="E73" s="56" t="str">
        <f aca="false">IF(COUNT(C67:C73)&lt;7,"",AVERAGE(C67:C73))</f>
        <v/>
      </c>
    </row>
    <row r="74" customFormat="false" ht="15" hidden="false" customHeight="false" outlineLevel="0" collapsed="false">
      <c r="A74" s="54" t="n">
        <v>68</v>
      </c>
      <c r="B74" s="55"/>
      <c r="C74" s="18"/>
      <c r="D74" s="17"/>
      <c r="E74" s="56" t="str">
        <f aca="false">IF(COUNT(C68:C74)&lt;7,"",AVERAGE(C68:C74))</f>
        <v/>
      </c>
    </row>
    <row r="75" customFormat="false" ht="15" hidden="false" customHeight="false" outlineLevel="0" collapsed="false">
      <c r="A75" s="54" t="n">
        <v>69</v>
      </c>
      <c r="B75" s="55"/>
      <c r="C75" s="18"/>
      <c r="D75" s="17"/>
      <c r="E75" s="56" t="str">
        <f aca="false">IF(COUNT(C69:C75)&lt;7,"",AVERAGE(C69:C75))</f>
        <v/>
      </c>
    </row>
    <row r="76" customFormat="false" ht="15" hidden="false" customHeight="false" outlineLevel="0" collapsed="false">
      <c r="A76" s="54" t="n">
        <v>70</v>
      </c>
      <c r="B76" s="55"/>
      <c r="C76" s="18"/>
      <c r="D76" s="17"/>
      <c r="E76" s="56" t="str">
        <f aca="false">IF(COUNT(C70:C76)&lt;7,"",AVERAGE(C70:C76))</f>
        <v/>
      </c>
    </row>
    <row r="77" customFormat="false" ht="15" hidden="false" customHeight="false" outlineLevel="0" collapsed="false">
      <c r="A77" s="54" t="n">
        <v>71</v>
      </c>
      <c r="B77" s="55"/>
      <c r="C77" s="18"/>
      <c r="D77" s="17"/>
      <c r="E77" s="56" t="str">
        <f aca="false">IF(COUNT(C71:C77)&lt;7,"",AVERAGE(C71:C77))</f>
        <v/>
      </c>
    </row>
    <row r="78" customFormat="false" ht="15" hidden="false" customHeight="false" outlineLevel="0" collapsed="false">
      <c r="A78" s="54" t="n">
        <v>72</v>
      </c>
      <c r="B78" s="55"/>
      <c r="C78" s="18"/>
      <c r="D78" s="17"/>
      <c r="E78" s="56" t="str">
        <f aca="false">IF(COUNT(C72:C78)&lt;7,"",AVERAGE(C72:C78))</f>
        <v/>
      </c>
    </row>
    <row r="79" customFormat="false" ht="15" hidden="false" customHeight="false" outlineLevel="0" collapsed="false">
      <c r="A79" s="54" t="n">
        <v>73</v>
      </c>
      <c r="B79" s="55"/>
      <c r="C79" s="18"/>
      <c r="D79" s="17"/>
      <c r="E79" s="56" t="str">
        <f aca="false">IF(COUNT(C73:C79)&lt;7,"",AVERAGE(C73:C79))</f>
        <v/>
      </c>
    </row>
    <row r="80" customFormat="false" ht="15" hidden="false" customHeight="false" outlineLevel="0" collapsed="false">
      <c r="A80" s="54" t="n">
        <v>74</v>
      </c>
      <c r="B80" s="55"/>
      <c r="C80" s="18"/>
      <c r="D80" s="17"/>
      <c r="E80" s="56" t="str">
        <f aca="false">IF(COUNT(C74:C80)&lt;7,"",AVERAGE(C74:C80))</f>
        <v/>
      </c>
    </row>
    <row r="81" customFormat="false" ht="15" hidden="false" customHeight="false" outlineLevel="0" collapsed="false">
      <c r="A81" s="54" t="n">
        <v>75</v>
      </c>
      <c r="B81" s="55"/>
      <c r="C81" s="18"/>
      <c r="D81" s="17"/>
      <c r="E81" s="56" t="str">
        <f aca="false">IF(COUNT(C75:C81)&lt;7,"",AVERAGE(C75:C81))</f>
        <v/>
      </c>
    </row>
    <row r="82" customFormat="false" ht="15" hidden="false" customHeight="false" outlineLevel="0" collapsed="false">
      <c r="A82" s="54" t="n">
        <v>76</v>
      </c>
      <c r="B82" s="55"/>
      <c r="C82" s="18"/>
      <c r="D82" s="17"/>
      <c r="E82" s="56" t="str">
        <f aca="false">IF(COUNT(C76:C82)&lt;7,"",AVERAGE(C76:C82))</f>
        <v/>
      </c>
    </row>
    <row r="83" customFormat="false" ht="15" hidden="false" customHeight="false" outlineLevel="0" collapsed="false">
      <c r="A83" s="54" t="n">
        <v>77</v>
      </c>
      <c r="B83" s="55"/>
      <c r="C83" s="18"/>
      <c r="D83" s="17"/>
      <c r="E83" s="56" t="str">
        <f aca="false">IF(COUNT(C77:C83)&lt;7,"",AVERAGE(C77:C83))</f>
        <v/>
      </c>
    </row>
    <row r="84" customFormat="false" ht="15" hidden="false" customHeight="false" outlineLevel="0" collapsed="false">
      <c r="A84" s="54" t="n">
        <v>78</v>
      </c>
      <c r="B84" s="55"/>
      <c r="C84" s="18"/>
      <c r="D84" s="17"/>
      <c r="E84" s="56" t="str">
        <f aca="false">IF(COUNT(C78:C84)&lt;7,"",AVERAGE(C78:C84))</f>
        <v/>
      </c>
    </row>
    <row r="85" customFormat="false" ht="15" hidden="false" customHeight="false" outlineLevel="0" collapsed="false">
      <c r="A85" s="54" t="n">
        <v>79</v>
      </c>
      <c r="B85" s="55"/>
      <c r="C85" s="18"/>
      <c r="D85" s="17"/>
      <c r="E85" s="56" t="str">
        <f aca="false">IF(COUNT(C79:C85)&lt;7,"",AVERAGE(C79:C85))</f>
        <v/>
      </c>
    </row>
    <row r="86" customFormat="false" ht="15" hidden="false" customHeight="false" outlineLevel="0" collapsed="false">
      <c r="A86" s="54" t="n">
        <v>80</v>
      </c>
      <c r="B86" s="55"/>
      <c r="C86" s="18"/>
      <c r="D86" s="17"/>
      <c r="E86" s="56" t="str">
        <f aca="false">IF(COUNT(C80:C86)&lt;7,"",AVERAGE(C80:C86))</f>
        <v/>
      </c>
    </row>
    <row r="87" customFormat="false" ht="15" hidden="false" customHeight="false" outlineLevel="0" collapsed="false">
      <c r="A87" s="54" t="n">
        <v>81</v>
      </c>
      <c r="B87" s="55"/>
      <c r="C87" s="18"/>
      <c r="D87" s="17"/>
      <c r="E87" s="56" t="str">
        <f aca="false">IF(COUNT(C81:C87)&lt;7,"",AVERAGE(C81:C87))</f>
        <v/>
      </c>
    </row>
    <row r="88" customFormat="false" ht="15" hidden="false" customHeight="false" outlineLevel="0" collapsed="false">
      <c r="A88" s="54" t="n">
        <v>82</v>
      </c>
      <c r="B88" s="55"/>
      <c r="C88" s="18"/>
      <c r="D88" s="17"/>
      <c r="E88" s="56" t="str">
        <f aca="false">IF(COUNT(C82:C88)&lt;7,"",AVERAGE(C82:C88))</f>
        <v/>
      </c>
    </row>
    <row r="89" customFormat="false" ht="15" hidden="false" customHeight="false" outlineLevel="0" collapsed="false">
      <c r="A89" s="54" t="n">
        <v>83</v>
      </c>
      <c r="B89" s="55"/>
      <c r="C89" s="18"/>
      <c r="D89" s="17"/>
      <c r="E89" s="56" t="str">
        <f aca="false">IF(COUNT(C83:C89)&lt;7,"",AVERAGE(C83:C89))</f>
        <v/>
      </c>
    </row>
    <row r="90" customFormat="false" ht="15" hidden="false" customHeight="false" outlineLevel="0" collapsed="false">
      <c r="A90" s="54" t="n">
        <v>84</v>
      </c>
      <c r="B90" s="55"/>
      <c r="C90" s="18"/>
      <c r="D90" s="17"/>
      <c r="E90" s="56" t="str">
        <f aca="false">IF(COUNT(C84:C90)&lt;7,"",AVERAGE(C84:C90))</f>
        <v/>
      </c>
    </row>
    <row r="92" customFormat="false" ht="15" hidden="false" customHeight="false" outlineLevel="0" collapsed="false">
      <c r="A92" s="10" t="s">
        <v>31</v>
      </c>
      <c r="B92" s="11"/>
      <c r="C92" s="11"/>
      <c r="D92" s="11"/>
      <c r="E92" s="11"/>
      <c r="F92" s="11"/>
    </row>
  </sheetData>
  <sheetProtection sheet="true" formatCells="false" selectLockedCells="true" selectUnlockedCells="true"/>
  <conditionalFormatting sqref="D7:D90">
    <cfRule type="dataBar" priority="2">
      <dataBar showValue="1" minLength="10" maxLength="90">
        <cfvo type="min" val="0"/>
        <cfvo type="max" val="0"/>
        <color rgb="FF5CAFAE"/>
      </dataBar>
      <extLst>
        <ext xmlns:x14="http://schemas.microsoft.com/office/spreadsheetml/2009/9/main" uri="{B025F937-C7B1-47D3-B67F-A62EFF666E3E}">
          <x14:id>{E28C95E6-58E1-4772-8E94-A67ABD58FB15}</x14:id>
        </ext>
      </extLst>
    </cfRule>
  </conditionalFormatting>
  <conditionalFormatting sqref="E7:E90">
    <cfRule type="dataBar" priority="3">
      <dataBar showValue="1" minLength="10" maxLength="90">
        <cfvo type="percentile" val="5"/>
        <cfvo type="percentile" val="95"/>
        <color rgb="FFA8D5D4"/>
      </dataBar>
      <extLst>
        <ext xmlns:x14="http://schemas.microsoft.com/office/spreadsheetml/2009/9/main" uri="{B025F937-C7B1-47D3-B67F-A62EFF666E3E}">
          <x14:id>{8ABDEB36-D2D6-4B25-80EA-2BABF068F2E4}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8C95E6-58E1-4772-8E94-A67ABD58FB15}">
            <x14:dataBar minLength="10" maxLength="90" axisPosition="none" gradient="true">
              <x14:cfvo type="min"/>
              <x14:cfvo type="max"/>
              <x14:negativeFillColor rgb="FF5CAFAE"/>
              <x14:axisColor rgb="FF000000"/>
            </x14:dataBar>
          </x14:cfRule>
          <xm:sqref>D7:D90</xm:sqref>
        </x14:conditionalFormatting>
        <x14:conditionalFormatting xmlns:xm="http://schemas.microsoft.com/office/excel/2006/main">
          <x14:cfRule type="dataBar" id="{8ABDEB36-D2D6-4B25-80EA-2BABF068F2E4}">
            <x14:dataBar minLength="10" maxLength="90" axisPosition="none" gradient="true">
              <x14:cfvo type="percentile">
                <xm:f>5</xm:f>
              </x14:cfvo>
              <x14:cfvo type="percentile">
                <xm:f>95</xm:f>
              </x14:cfvo>
              <x14:negativeFillColor rgb="FFA8D5D4"/>
              <x14:axisColor rgb="FF000000"/>
            </x14:dataBar>
          </x14:cfRule>
          <xm:sqref>E7:E90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"/>
    <col collapsed="false" customWidth="true" hidden="false" outlineLevel="0" max="3" min="3" style="0" width="16"/>
    <col collapsed="false" customWidth="true" hidden="false" outlineLevel="0" max="4" min="4" style="0" width="2"/>
    <col collapsed="false" customWidth="true" hidden="false" outlineLevel="0" max="5" min="5" style="0" width="54"/>
  </cols>
  <sheetData>
    <row r="1" customFormat="false" ht="25.5" hidden="false" customHeight="true" outlineLevel="0" collapsed="false">
      <c r="A1" s="1" t="s">
        <v>216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217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27" t="s">
        <v>218</v>
      </c>
    </row>
    <row r="6" customFormat="false" ht="19.5" hidden="false" customHeight="true" outlineLevel="0" collapsed="false">
      <c r="A6" s="4" t="s">
        <v>219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14" t="s">
        <v>220</v>
      </c>
      <c r="C7" s="35" t="n">
        <f aca="false">SUMPRODUCT((Tracker!C7:C90&lt;&gt;"")*(Tracker!D7:D90&lt;&gt;""))</f>
        <v>1</v>
      </c>
    </row>
    <row r="8" customFormat="false" ht="15" hidden="false" customHeight="false" outlineLevel="0" collapsed="false">
      <c r="A8" s="57" t="str">
        <f aca="false">IF(C7&lt;14,"Noch "&amp;(14-C7)&amp;" Tage bis zur Kalibrierung.","Kalibrierung aktiv.")</f>
        <v>Noch 13 Tage bis zur Kalibrierung.</v>
      </c>
    </row>
    <row r="10" customFormat="false" ht="19.5" hidden="false" customHeight="true" outlineLevel="0" collapsed="false">
      <c r="A10" s="4" t="s">
        <v>221</v>
      </c>
      <c r="B10" s="5"/>
      <c r="C10" s="5"/>
      <c r="D10" s="5"/>
      <c r="E10" s="5"/>
      <c r="F10" s="5"/>
    </row>
    <row r="11" customFormat="false" ht="15" hidden="false" customHeight="false" outlineLevel="0" collapsed="false">
      <c r="A11" s="14" t="s">
        <v>222</v>
      </c>
      <c r="C11" s="35" t="n">
        <f aca="false">COUNT(Tracker!C7:C90)</f>
        <v>1</v>
      </c>
    </row>
    <row r="12" customFormat="false" ht="15" hidden="false" customHeight="false" outlineLevel="0" collapsed="false">
      <c r="A12" s="14" t="s">
        <v>223</v>
      </c>
      <c r="C12" s="32" t="n">
        <f aca="false">IFERROR(AVERAGE(Tracker!C7:C13),"")</f>
        <v>82.4</v>
      </c>
    </row>
    <row r="13" customFormat="false" ht="15" hidden="false" customHeight="false" outlineLevel="0" collapsed="false">
      <c r="A13" s="14" t="s">
        <v>224</v>
      </c>
      <c r="C13" s="32" t="str">
        <f aca="false">IFERROR(INDEX(Tracker!E7:E90,C11),"")</f>
        <v/>
      </c>
    </row>
    <row r="14" customFormat="false" ht="15" hidden="false" customHeight="false" outlineLevel="0" collapsed="false">
      <c r="A14" s="14" t="s">
        <v>225</v>
      </c>
      <c r="C14" s="35" t="str">
        <f aca="false">IF(C11&gt;7,C11-7,"")</f>
        <v/>
      </c>
    </row>
    <row r="15" customFormat="false" ht="15" hidden="false" customHeight="false" outlineLevel="0" collapsed="false">
      <c r="A15" s="14" t="s">
        <v>226</v>
      </c>
      <c r="C15" s="58" t="str">
        <f aca="false">IFERROR(C13-C12,"")</f>
        <v/>
      </c>
    </row>
    <row r="16" customFormat="false" ht="15" hidden="false" customHeight="false" outlineLevel="0" collapsed="false">
      <c r="A16" s="14" t="s">
        <v>227</v>
      </c>
      <c r="C16" s="28" t="n">
        <f aca="false">IFERROR(AVERAGEIF(Tracker!D7:D90,"&gt;0"),"")</f>
        <v>2100</v>
      </c>
    </row>
    <row r="17" customFormat="false" ht="15" hidden="false" customHeight="false" outlineLevel="0" collapsed="false">
      <c r="A17" s="14" t="s">
        <v>228</v>
      </c>
      <c r="C17" s="28" t="str">
        <f aca="false">IFERROR(C15*7700/C14,"")</f>
        <v/>
      </c>
      <c r="E17" s="29" t="s">
        <v>229</v>
      </c>
    </row>
    <row r="19" customFormat="false" ht="19.5" hidden="false" customHeight="true" outlineLevel="0" collapsed="false">
      <c r="A19" s="4" t="s">
        <v>230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14" t="s">
        <v>231</v>
      </c>
      <c r="C20" s="30" t="str">
        <f aca="false">IF(C7&lt;14,"",IFERROR(C16-C17,""))</f>
        <v/>
      </c>
      <c r="E20" s="29" t="s">
        <v>232</v>
      </c>
    </row>
    <row r="21" customFormat="false" ht="15" hidden="false" customHeight="false" outlineLevel="0" collapsed="false">
      <c r="A21" s="14" t="s">
        <v>233</v>
      </c>
      <c r="C21" s="28" t="n">
        <f aca="false">Rechenweg!C38</f>
        <v>2949.10212765957</v>
      </c>
      <c r="E21" s="29" t="s">
        <v>234</v>
      </c>
    </row>
    <row r="22" customFormat="false" ht="15" hidden="false" customHeight="false" outlineLevel="0" collapsed="false">
      <c r="A22" s="14" t="s">
        <v>235</v>
      </c>
      <c r="C22" s="59" t="str">
        <f aca="false">IFERROR(C20-C21,"")</f>
        <v/>
      </c>
    </row>
    <row r="23" customFormat="false" ht="15" hidden="false" customHeight="false" outlineLevel="0" collapsed="false">
      <c r="A23" s="14" t="s">
        <v>236</v>
      </c>
      <c r="C23" s="30" t="str">
        <f aca="false">IF(C7&lt;14,"",IFERROR(C20*(1+Rechenweg!C34),""))</f>
        <v/>
      </c>
      <c r="E23" s="29" t="s">
        <v>237</v>
      </c>
    </row>
    <row r="25" customFormat="false" ht="15" hidden="false" customHeight="false" outlineLevel="0" collapsed="false">
      <c r="A25" s="14" t="s">
        <v>238</v>
      </c>
      <c r="C25" s="35" t="n">
        <f aca="false">IF(C7&gt;=14,1,0)</f>
        <v>0</v>
      </c>
    </row>
    <row r="27" customFormat="false" ht="15" hidden="false" customHeight="false" outlineLevel="0" collapsed="false">
      <c r="A27" s="27" t="s">
        <v>239</v>
      </c>
    </row>
    <row r="28" customFormat="false" ht="15" hidden="false" customHeight="false" outlineLevel="0" collapsed="false">
      <c r="A28" s="27" t="s">
        <v>240</v>
      </c>
    </row>
    <row r="30" customFormat="false" ht="15" hidden="false" customHeight="false" outlineLevel="0" collapsed="false">
      <c r="A30" s="10" t="s">
        <v>31</v>
      </c>
      <c r="B30" s="11"/>
      <c r="C30" s="11"/>
      <c r="D30" s="11"/>
      <c r="E30" s="11"/>
      <c r="F30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</cols>
  <sheetData>
    <row r="1" customFormat="false" ht="25.5" hidden="false" customHeight="true" outlineLevel="0" collapsed="false">
      <c r="A1" s="1" t="s">
        <v>241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242</v>
      </c>
      <c r="B2" s="2"/>
      <c r="C2" s="2"/>
      <c r="D2" s="2"/>
      <c r="E2" s="2"/>
      <c r="F2" s="2"/>
    </row>
    <row r="6" customFormat="false" ht="15" hidden="false" customHeight="false" outlineLevel="0" collapsed="false">
      <c r="A6" s="60" t="s">
        <v>243</v>
      </c>
    </row>
    <row r="7" customFormat="false" ht="15" hidden="false" customHeight="false" outlineLevel="0" collapsed="false">
      <c r="A7" s="61" t="s">
        <v>244</v>
      </c>
    </row>
    <row r="8" customFormat="false" ht="15" hidden="false" customHeight="false" outlineLevel="0" collapsed="false">
      <c r="A8" s="61" t="s">
        <v>245</v>
      </c>
    </row>
    <row r="9" customFormat="false" ht="15" hidden="false" customHeight="false" outlineLevel="0" collapsed="false">
      <c r="A9" s="61" t="s">
        <v>246</v>
      </c>
    </row>
    <row r="10" customFormat="false" ht="15" hidden="false" customHeight="false" outlineLevel="0" collapsed="false">
      <c r="A10" s="61" t="s">
        <v>247</v>
      </c>
    </row>
    <row r="12" customFormat="false" ht="15" hidden="false" customHeight="false" outlineLevel="0" collapsed="false">
      <c r="A12" s="60" t="s">
        <v>248</v>
      </c>
    </row>
    <row r="13" customFormat="false" ht="15" hidden="false" customHeight="false" outlineLevel="0" collapsed="false">
      <c r="A13" s="61" t="s">
        <v>249</v>
      </c>
    </row>
    <row r="14" customFormat="false" ht="15" hidden="false" customHeight="false" outlineLevel="0" collapsed="false">
      <c r="A14" s="61" t="s">
        <v>250</v>
      </c>
    </row>
    <row r="15" customFormat="false" ht="15" hidden="false" customHeight="false" outlineLevel="0" collapsed="false">
      <c r="A15" s="61" t="s">
        <v>251</v>
      </c>
    </row>
    <row r="16" customFormat="false" ht="15" hidden="false" customHeight="false" outlineLevel="0" collapsed="false">
      <c r="A16" s="61" t="s">
        <v>252</v>
      </c>
    </row>
    <row r="17" customFormat="false" ht="15" hidden="false" customHeight="false" outlineLevel="0" collapsed="false">
      <c r="A17" s="61" t="s">
        <v>253</v>
      </c>
    </row>
    <row r="18" customFormat="false" ht="15" hidden="false" customHeight="false" outlineLevel="0" collapsed="false">
      <c r="A18" s="61" t="s">
        <v>254</v>
      </c>
    </row>
    <row r="20" customFormat="false" ht="15" hidden="false" customHeight="false" outlineLevel="0" collapsed="false">
      <c r="A20" s="62" t="s">
        <v>255</v>
      </c>
    </row>
    <row r="21" customFormat="false" ht="17.35" hidden="false" customHeight="false" outlineLevel="0" collapsed="false">
      <c r="A21" s="63" t="s">
        <v>256</v>
      </c>
    </row>
    <row r="23" customFormat="false" ht="15" hidden="false" customHeight="false" outlineLevel="0" collapsed="false">
      <c r="A23" s="64" t="s">
        <v>33</v>
      </c>
    </row>
    <row r="25" customFormat="false" ht="15" hidden="false" customHeight="false" outlineLevel="0" collapsed="false">
      <c r="A25" s="10" t="s">
        <v>31</v>
      </c>
      <c r="B25" s="11"/>
      <c r="C25" s="11"/>
      <c r="D25" s="11"/>
      <c r="E25" s="11"/>
      <c r="F25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2026-08-07T10:14:52Z</dcterms:created>
  <dc:creator>openpyxl</dc:creator>
  <dc:description/>
  <dc:language>en-US</dc:language>
  <cp:lastModifiedBy/>
  <dcterms:modified xsi:type="dcterms:W3CDTF">2026-08-07T10:14:52Z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