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" sheetId="1" state="visible" r:id="rId3"/>
    <sheet name="Dein Plan" sheetId="2" state="visible" r:id="rId4"/>
    <sheet name="Sheet" sheetId="3" state="visible" r:id="rId5"/>
    <sheet name="Übungen" sheetId="4" state="visible" r:id="rId6"/>
    <sheet name="Referenz" sheetId="5" state="visible" r:id="rId7"/>
    <sheet name="Tracking" sheetId="6" state="visible" r:id="rId8"/>
    <sheet name="Volumen" sheetId="7" state="visible" r:id="rId9"/>
    <sheet name="Progression" sheetId="8" state="visible" r:id="rId10"/>
    <sheet name="intaq." sheetId="9" state="visible" r:id="rId1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<sst xmlns="http://schemas.openxmlformats.org/spreadsheetml/2006/main" count="369" uniqueCount="204">
  <si>
    <t xml:space="preserve">intaq.  ·  Trainingsplan Muskelaufbau</t>
  </si>
  <si>
    <t xml:space="preserve">Trainingstage frei wählbar — der Plan baut sich automatisch um.</t>
  </si>
  <si>
    <t xml:space="preserve">LEGENDE:  Nur die gelb hinterlegten Zellen ausfüllen. Die Beispielwerte bitte überschreiben. Der fertige Plan steht auf dem Blatt „Dein Plan“.</t>
  </si>
  <si>
    <t xml:space="preserve">DEINE ANGABEN</t>
  </si>
  <si>
    <t xml:space="preserve">Trainingstage pro Woche</t>
  </si>
  <si>
    <t xml:space="preserve">3 bis 6 — der Split passt sich automatisch an</t>
  </si>
  <si>
    <t xml:space="preserve">Ausstattung</t>
  </si>
  <si>
    <t xml:space="preserve">Vollausstattung</t>
  </si>
  <si>
    <t xml:space="preserve">bestimmt, welche Übungsvarianten du bekommst</t>
  </si>
  <si>
    <t xml:space="preserve">Erfahrungslevel</t>
  </si>
  <si>
    <t xml:space="preserve">Fortgeschritten (1–3 Jahre)</t>
  </si>
  <si>
    <t xml:space="preserve">steuert dein Satzvolumen</t>
  </si>
  <si>
    <t xml:space="preserve">DEIN SPLIT</t>
  </si>
  <si>
    <t xml:space="preserve">Einheit 1</t>
  </si>
  <si>
    <t xml:space="preserve">Einheit 2</t>
  </si>
  <si>
    <t xml:space="preserve">Einheit 3</t>
  </si>
  <si>
    <t xml:space="preserve">Einheit 4</t>
  </si>
  <si>
    <t xml:space="preserve">Einheit 5</t>
  </si>
  <si>
    <t xml:space="preserve">Einheit 6</t>
  </si>
  <si>
    <t xml:space="preserve">VOLUMENKONTROLLE</t>
  </si>
  <si>
    <t xml:space="preserve">Geplante Sätze pro Woche</t>
  </si>
  <si>
    <t xml:space="preserve">Muskelgruppen im Zielbereich</t>
  </si>
  <si>
    <t xml:space="preserve">Nächste Schritte:  Blatt „Dein Plan“ zeigt deine Einheiten  ·  Blatt „Tracking“ ist dein Logbuch  ·  Blatt „Volumen“ prüft automatisch, ob du im Zielbereich liegst.</t>
  </si>
  <si>
    <t xml:space="preserve">intaq.de/early-access  ·  Orientierungswerte, keine medizinische Beratung.</t>
  </si>
  <si>
    <t xml:space="preserve">Dein Trainingsplan</t>
  </si>
  <si>
    <t xml:space="preserve">RIR 1 – 3  ·  letzte Wiederholung sauber, nicht bis zum Versagen.</t>
  </si>
  <si>
    <t xml:space="preserve">Aufwärmen: 5–10 Minuten allgemein, danach 2 leichte Aufwärmsätze vor der ersten Übung je Muskelgruppe. Aufwärmsätze zählen nicht ins Volumen.</t>
  </si>
  <si>
    <t xml:space="preserve">Die Spalte „Sekundär“ zeigt, welche Muskelgruppe zusätzlich mitarbeitet. Sie zählt im Blatt „Volumen“ zur Hälfte mit.</t>
  </si>
  <si>
    <t xml:space="preserve">Übungsdatenbank</t>
  </si>
  <si>
    <t xml:space="preserve">Alternativen greifen automatisch, wenn du auf „Start“ deine Ausstattung änderst.</t>
  </si>
  <si>
    <t xml:space="preserve">Übung</t>
  </si>
  <si>
    <t xml:space="preserve">Muskelgruppe</t>
  </si>
  <si>
    <t xml:space="preserve">Sekundär</t>
  </si>
  <si>
    <t xml:space="preserve">Alternative · Basic Gym</t>
  </si>
  <si>
    <t xml:space="preserve">Alternative · Home Gym</t>
  </si>
  <si>
    <t xml:space="preserve">Wdh</t>
  </si>
  <si>
    <t xml:space="preserve">Sätze-Basis</t>
  </si>
  <si>
    <t xml:space="preserve">Hinweis</t>
  </si>
  <si>
    <t xml:space="preserve">Bankdrücken Langhantel</t>
  </si>
  <si>
    <t xml:space="preserve">Brust</t>
  </si>
  <si>
    <t xml:space="preserve">Trizeps</t>
  </si>
  <si>
    <t xml:space="preserve">Bankdrücken Kurzhantel</t>
  </si>
  <si>
    <t xml:space="preserve">5 – 8</t>
  </si>
  <si>
    <t xml:space="preserve">Schulterblätter fixieren, Ellbogen ca. 45°</t>
  </si>
  <si>
    <t xml:space="preserve">Schrägbankdrücken Kurzhantel</t>
  </si>
  <si>
    <t xml:space="preserve">8 – 12</t>
  </si>
  <si>
    <t xml:space="preserve">Bank auf 30°, nicht steiler</t>
  </si>
  <si>
    <t xml:space="preserve">Butterfly / Kabel-Fly</t>
  </si>
  <si>
    <t xml:space="preserve">Fliegende Kurzhantel</t>
  </si>
  <si>
    <t xml:space="preserve">12 – 15</t>
  </si>
  <si>
    <t xml:space="preserve">Dehnung in der Endposition halten</t>
  </si>
  <si>
    <t xml:space="preserve">Klimmzüge</t>
  </si>
  <si>
    <t xml:space="preserve">Rücken</t>
  </si>
  <si>
    <t xml:space="preserve">Bizeps</t>
  </si>
  <si>
    <t xml:space="preserve">6 – 10</t>
  </si>
  <si>
    <t xml:space="preserve">Voller Bewegungsumfang, kein Schwung</t>
  </si>
  <si>
    <t xml:space="preserve">Langhantelrudern</t>
  </si>
  <si>
    <t xml:space="preserve">Kurzhantelrudern</t>
  </si>
  <si>
    <t xml:space="preserve">Rücken neutral, zum unteren Brustkorb ziehen</t>
  </si>
  <si>
    <t xml:space="preserve">Latzug eng</t>
  </si>
  <si>
    <t xml:space="preserve">Klimmzüge Untergriff</t>
  </si>
  <si>
    <t xml:space="preserve">Brust raus, Ellbogen nach unten führen</t>
  </si>
  <si>
    <t xml:space="preserve">Kabelrudern sitzend</t>
  </si>
  <si>
    <t xml:space="preserve">Kurzhantelrudern einarmig</t>
  </si>
  <si>
    <t xml:space="preserve">10 – 12</t>
  </si>
  <si>
    <t xml:space="preserve">Oberkörper ruhig halten</t>
  </si>
  <si>
    <t xml:space="preserve">Schulterdrücken Kurzhantel</t>
  </si>
  <si>
    <t xml:space="preserve">Schultern</t>
  </si>
  <si>
    <t xml:space="preserve">Nicht ins Hohlkreuz gehen</t>
  </si>
  <si>
    <t xml:space="preserve">Seitheben</t>
  </si>
  <si>
    <t xml:space="preserve">12 – 20</t>
  </si>
  <si>
    <t xml:space="preserve">Leichtes Gewicht, saubere Führung</t>
  </si>
  <si>
    <t xml:space="preserve">Face Pull</t>
  </si>
  <si>
    <t xml:space="preserve">Reverse Fly Kurzhantel</t>
  </si>
  <si>
    <t xml:space="preserve">15 – 20</t>
  </si>
  <si>
    <t xml:space="preserve">Wichtig für gesunde Schultern</t>
  </si>
  <si>
    <t xml:space="preserve">Bizepscurls Langhantel</t>
  </si>
  <si>
    <t xml:space="preserve">Bizepscurls Kurzhantel</t>
  </si>
  <si>
    <t xml:space="preserve">Ellbogen am Körper</t>
  </si>
  <si>
    <t xml:space="preserve">Hammercurls</t>
  </si>
  <si>
    <t xml:space="preserve">Trainiert zusätzlich den Unterarm</t>
  </si>
  <si>
    <t xml:space="preserve">Trizepsdrücken Kabel</t>
  </si>
  <si>
    <t xml:space="preserve">Trizeps-Kickback Kurzhantel</t>
  </si>
  <si>
    <t xml:space="preserve">10 – 15</t>
  </si>
  <si>
    <t xml:space="preserve">Oberarm fixieren</t>
  </si>
  <si>
    <t xml:space="preserve">Overhead-Trizeps</t>
  </si>
  <si>
    <t xml:space="preserve">French Press Kurzhantel</t>
  </si>
  <si>
    <t xml:space="preserve">Volle Dehnung nutzen</t>
  </si>
  <si>
    <t xml:space="preserve">Kniebeugen</t>
  </si>
  <si>
    <t xml:space="preserve">Quadrizeps</t>
  </si>
  <si>
    <t xml:space="preserve">Gesäß</t>
  </si>
  <si>
    <t xml:space="preserve">Goblet Squat</t>
  </si>
  <si>
    <t xml:space="preserve">Mindestens bis zur Parallele</t>
  </si>
  <si>
    <t xml:space="preserve">Beinpresse</t>
  </si>
  <si>
    <t xml:space="preserve">Ausfallschritte Kurzhantel</t>
  </si>
  <si>
    <t xml:space="preserve">Knie nicht durchdrücken</t>
  </si>
  <si>
    <t xml:space="preserve">Beinstrecker</t>
  </si>
  <si>
    <t xml:space="preserve">Bulgarian Split Squat</t>
  </si>
  <si>
    <t xml:space="preserve">Oben kurz halten</t>
  </si>
  <si>
    <t xml:space="preserve">Rumänisches Kreuzheben</t>
  </si>
  <si>
    <t xml:space="preserve">Hamstrings</t>
  </si>
  <si>
    <t xml:space="preserve">Rumänisches Kreuzheben KH</t>
  </si>
  <si>
    <t xml:space="preserve">8 – 10</t>
  </si>
  <si>
    <t xml:space="preserve">Rücken neutral, Dehnung spüren</t>
  </si>
  <si>
    <t xml:space="preserve">Beinbeuger liegend</t>
  </si>
  <si>
    <t xml:space="preserve">Nordic Curl</t>
  </si>
  <si>
    <t xml:space="preserve">Kontrolliert ablassen</t>
  </si>
  <si>
    <t xml:space="preserve">Hip Thrust</t>
  </si>
  <si>
    <t xml:space="preserve">Hip Thrust Kurzhantel</t>
  </si>
  <si>
    <t xml:space="preserve">Glute Bridge</t>
  </si>
  <si>
    <t xml:space="preserve">Oben 1 Sekunde halten</t>
  </si>
  <si>
    <t xml:space="preserve">Wadenheben stehend</t>
  </si>
  <si>
    <t xml:space="preserve">Waden</t>
  </si>
  <si>
    <t xml:space="preserve">Wadenheben einbeinig</t>
  </si>
  <si>
    <t xml:space="preserve">Volle Dehnung unten</t>
  </si>
  <si>
    <t xml:space="preserve">Bauchmaschine / Kabel-Crunch</t>
  </si>
  <si>
    <t xml:space="preserve">Rumpf</t>
  </si>
  <si>
    <t xml:space="preserve">Crunch</t>
  </si>
  <si>
    <t xml:space="preserve">Bewegung aus dem Bauch, nicht aus dem Nacken</t>
  </si>
  <si>
    <t xml:space="preserve">Plank</t>
  </si>
  <si>
    <t xml:space="preserve">30 – 60 s</t>
  </si>
  <si>
    <t xml:space="preserve">Gesäß anspannen, Hüfte nicht absacken</t>
  </si>
  <si>
    <t xml:space="preserve">Home Gym setzt Kurzhanteln, eine Bank und eine Klimmzugstange voraus.</t>
  </si>
  <si>
    <t xml:space="preserve">Split- und Einheitenlogik</t>
  </si>
  <si>
    <t xml:space="preserve">Grundlage der Planerstellung. Bitte nicht verändern.</t>
  </si>
  <si>
    <t xml:space="preserve">Split nach Trainingstagen</t>
  </si>
  <si>
    <t xml:space="preserve">Tage</t>
  </si>
  <si>
    <t xml:space="preserve">Push</t>
  </si>
  <si>
    <t xml:space="preserve">Pull</t>
  </si>
  <si>
    <t xml:space="preserve">Legs</t>
  </si>
  <si>
    <t xml:space="preserve">Oberkörper</t>
  </si>
  <si>
    <t xml:space="preserve">Unterkörper</t>
  </si>
  <si>
    <t xml:space="preserve">Übungen je Einheitstyp</t>
  </si>
  <si>
    <t xml:space="preserve">Einheitstyp</t>
  </si>
  <si>
    <t xml:space="preserve">Übung 1</t>
  </si>
  <si>
    <t xml:space="preserve">Übung 2</t>
  </si>
  <si>
    <t xml:space="preserve">Übung 3</t>
  </si>
  <si>
    <t xml:space="preserve">Übung 4</t>
  </si>
  <si>
    <t xml:space="preserve">Übung 5</t>
  </si>
  <si>
    <t xml:space="preserve">Übung 6</t>
  </si>
  <si>
    <t xml:space="preserve">Übung 7</t>
  </si>
  <si>
    <t xml:space="preserve">Ganzkörper A</t>
  </si>
  <si>
    <t xml:space="preserve">Ganzkörper B</t>
  </si>
  <si>
    <t xml:space="preserve">Ganzkörper C</t>
  </si>
  <si>
    <t xml:space="preserve">Faktoren</t>
  </si>
  <si>
    <t xml:space="preserve">Anfänger (unter 1 Jahr)</t>
  </si>
  <si>
    <t xml:space="preserve">Erfahren (über 3 Jahre)</t>
  </si>
  <si>
    <t xml:space="preserve">Tagesfaktor</t>
  </si>
  <si>
    <t xml:space="preserve">Modusfaktor (Muskelaufbau)</t>
  </si>
  <si>
    <t xml:space="preserve">Grundlagen und Annahmen</t>
  </si>
  <si>
    <t xml:space="preserve">·  Zielvolumen: 10–20 harte Sätze je Muskelgruppe und Woche (Muskelaufbau).</t>
  </si>
  <si>
    <t xml:space="preserve">·  Jede Muskelgruppe wird bei 4+ Trainingstagen zweimal pro Woche belastet.</t>
  </si>
  <si>
    <t xml:space="preserve">·  RIR = Reps in Reserve: verbleibende Wiederholungen bis zum Muskelversagen.</t>
  </si>
  <si>
    <t xml:space="preserve">·  Sätze = Basis × Erfahrungslevel × Tagesfaktor × Modusfaktor, gerundet und auf 2 bis 5 begrenzt.</t>
  </si>
  <si>
    <t xml:space="preserve">·  Bei weniger Trainingstagen steigt das Volumen je Einheit, damit das Wochenvolumen im Zielbereich bleibt.</t>
  </si>
  <si>
    <t xml:space="preserve">·  Progressive Overload: erst Wiederholungen steigern, dann Gewicht.</t>
  </si>
  <si>
    <t xml:space="preserve">Trainingslogbuch</t>
  </si>
  <si>
    <t xml:space="preserve">Jede Zeile ist eine Übung in einer Einheit. Die Muskelgruppen füllen sich automatisch.</t>
  </si>
  <si>
    <t xml:space="preserve">Trag mindestens Woche, Übung und Sätze ein — daraus berechnet das Blatt „Volumen“ dein tatsächliches Wochenvolumen.</t>
  </si>
  <si>
    <t xml:space="preserve">Woche</t>
  </si>
  <si>
    <t xml:space="preserve">Datum</t>
  </si>
  <si>
    <t xml:space="preserve">Einheit</t>
  </si>
  <si>
    <t xml:space="preserve">Sätze</t>
  </si>
  <si>
    <t xml:space="preserve">Gewicht (kg)</t>
  </si>
  <si>
    <t xml:space="preserve">RIR</t>
  </si>
  <si>
    <t xml:space="preserve">Volumenkontrolle</t>
  </si>
  <si>
    <t xml:space="preserve">Harte Arbeitssätze je Muskelgruppe und Woche. Sekundär beanspruchte Muskeln zählen zur Hälfte.</t>
  </si>
  <si>
    <t xml:space="preserve">Grün = im Zielbereich  ·  Rot = zu wenig Reiz  ·  Orange = viel Volumen, Erholung im Blick behalten. Leere Wochen bleiben ungefärbt.</t>
  </si>
  <si>
    <t xml:space="preserve">Ziel von</t>
  </si>
  <si>
    <t xml:space="preserve">Ziel bis</t>
  </si>
  <si>
    <t xml:space="preserve">Plan / Woche</t>
  </si>
  <si>
    <t xml:space="preserve">Status</t>
  </si>
  <si>
    <t xml:space="preserve">Gezählt werden nur harte Arbeitssätze. Aufwärmsätze gehören nicht ins Logbuch.</t>
  </si>
  <si>
    <t xml:space="preserve">Die Zielbereiche unterscheiden sich bewusst je Muskelgruppe — Waden und Rumpf vertragen und brauchen weniger Volumen als Rücken oder Beine.</t>
  </si>
  <si>
    <t xml:space="preserve">Progressive Overload</t>
  </si>
  <si>
    <t xml:space="preserve">Ohne Steigerung kein Reiz — und ohne Reiz keine Anpassung.</t>
  </si>
  <si>
    <t xml:space="preserve">DIE GRUNDREGEL</t>
  </si>
  <si>
    <t xml:space="preserve">·   Erreichst du bei allen Sätzen einer Übung das obere Ende des Wiederholungsbereichs bei RIR 1–3, erhöhst du beim nächsten Mal das Gewicht.</t>
  </si>
  <si>
    <t xml:space="preserve">·   Steigerung: 2,5 kg bei Oberkörper-Übungen, 5 kg bei Bein-Übungen.</t>
  </si>
  <si>
    <t xml:space="preserve">·   Nach der Steigerung landest du wieder am unteren Ende des Wiederholungsbereichs. Das ist so gewollt.</t>
  </si>
  <si>
    <t xml:space="preserve">WENN ES NICHT WEITERGEHT</t>
  </si>
  <si>
    <t xml:space="preserve">·   Zwei Einheiten in Folge kein Fortschritt: Technik und Ausführungstempo prüfen.</t>
  </si>
  <si>
    <t xml:space="preserve">·   Danach: Schlaf, Kalorien und Protein prüfen — Training ist nur ein Teil der Gleichung.</t>
  </si>
  <si>
    <t xml:space="preserve">·   Bleibt es stehen, eine Woche mit halbiertem Volumen einlegen (Deload) und danach neu ansetzen.</t>
  </si>
  <si>
    <t xml:space="preserve">IM KALORIENÜBERSCHUSS</t>
  </si>
  <si>
    <t xml:space="preserve">·   Fortschritt kommt jetzt schneller — steigere trotzdem nur mit sauberer Technik.</t>
  </si>
  <si>
    <t xml:space="preserve">·   Volumen langsam aufbauen statt sofort ans obere Ende gehen.</t>
  </si>
  <si>
    <t xml:space="preserve">·   Steigt das Gewicht schneller als etwa 0,25 – 0,5 % Körpergewicht pro Woche, wird zu viel Fett mit aufgebaut.</t>
  </si>
  <si>
    <t xml:space="preserve">WAS ZUSÄTZLICH ZÄHLT</t>
  </si>
  <si>
    <t xml:space="preserve">·   7 bis 9 Stunden Schlaf — der wichtigste Erholungsfaktor.</t>
  </si>
  <si>
    <t xml:space="preserve">·   Voller Bewegungsumfang schlägt mehr Gewicht bei halber Bewegung.</t>
  </si>
  <si>
    <t xml:space="preserve">·   Mindestens 48 Stunden Abstand, bevor dieselbe Muskelgruppe wieder hart belastet wird.</t>
  </si>
  <si>
    <t xml:space="preserve">Training ist die eine Hälfte.</t>
  </si>
  <si>
    <t xml:space="preserve">Die andere ist, was auf dem Teller liegt.</t>
  </si>
  <si>
    <t xml:space="preserve">Ohne passende Kalorien und genug Protein bleibt jeder Trainingsplan wirkungslos.</t>
  </si>
  <si>
    <t xml:space="preserve">Was intaq. macht</t>
  </si>
  <si>
    <t xml:space="preserve">·   Berechnet dein Kalorienziel aus der genauesten Methode, die deine Daten hergeben</t>
  </si>
  <si>
    <t xml:space="preserve">·   Rechnet dein geloggtes Training als echte Kalorien ein — nicht als Pauschalzuschlag</t>
  </si>
  <si>
    <t xml:space="preserve">·   Passt dein Ziel automatisch an, wenn sich Training, Gewicht oder Werte ändern</t>
  </si>
  <si>
    <t xml:space="preserve">·   Zeigt dir im Klartext, welcher Faktor die Anpassung ausgelöst hat</t>
  </si>
  <si>
    <t xml:space="preserve">·   Über 25 Parameter statt einer Standardformel für alle</t>
  </si>
  <si>
    <t xml:space="preserve">Early Access sichern:</t>
  </si>
  <si>
    <t xml:space="preserve">intaq.de/early-access</t>
  </si>
  <si>
    <t xml:space="preserve">Andere Apps zählen. Intaq. rechnet.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</si>
</sst>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"/>
    <numFmt numFmtId="166" formatCode="@"/>
    <numFmt numFmtId="167" formatCode="0.00"/>
    <numFmt numFmtId="168" formatCode="dd\.mm\.yyyy"/>
    <numFmt numFmtId="169" formatCode="0.0"/>
    <numFmt numFmtId="170" formatCode="0.#"/>
    <numFmt numFmtId="171" formatCode="0.#;;;"/>
  </numFmts>
  <fonts count="2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9"/>
      <color rgb="FFFFFFFF"/>
      <name val="Arial"/>
      <family val="0"/>
      <charset val="1"/>
    </font>
    <font>
      <b val="true"/>
      <sz val="9"/>
      <color rgb="FFC00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i val="true"/>
      <sz val="8"/>
      <color rgb="FF666666"/>
      <name val="Arial"/>
      <family val="0"/>
      <charset val="1"/>
    </font>
    <font>
      <b val="true"/>
      <sz val="11"/>
      <color rgb="FF5CAFAE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9"/>
      <color rgb="FF666666"/>
      <name val="Arial"/>
      <family val="0"/>
      <charset val="1"/>
    </font>
    <font>
      <b val="true"/>
      <sz val="9"/>
      <color rgb="FF000000"/>
      <name val="Arial"/>
      <family val="0"/>
      <charset val="1"/>
    </font>
    <font>
      <b val="true"/>
      <sz val="9"/>
      <color rgb="FF666666"/>
      <name val="Arial"/>
      <family val="0"/>
      <charset val="1"/>
    </font>
    <font>
      <sz val="9"/>
      <color rgb="FF000000"/>
      <name val="Arial"/>
      <family val="0"/>
      <charset val="1"/>
    </font>
    <font>
      <sz val="8"/>
      <color rgb="FF666666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8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4"/>
      <color rgb="FF5CAFAE"/>
      <name val="Arial"/>
      <family val="0"/>
      <charset val="1"/>
    </font>
    <font>
      <i val="true"/>
      <sz val="10"/>
      <color rgb="FF666666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A1A1A"/>
        <bgColor rgb="FF333300"/>
      </patternFill>
    </fill>
    <fill>
      <patternFill patternType="solid">
        <fgColor rgb="FF5CAFAE"/>
        <bgColor rgb="FF339966"/>
      </patternFill>
    </fill>
    <fill>
      <patternFill patternType="solid">
        <fgColor rgb="FFFFF2CC"/>
        <bgColor rgb="FFFCE4CC"/>
      </patternFill>
    </fill>
    <fill>
      <patternFill patternType="solid">
        <fgColor rgb="FFF5F7F7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5D5"/>
      </left>
      <right style="thin">
        <color rgb="FFD0D5D5"/>
      </right>
      <top style="thin">
        <color rgb="FFD0D5D5"/>
      </top>
      <bottom style="thin">
        <color rgb="FFD0D5D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9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9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9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9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1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F8D7D7"/>
        </patternFill>
      </fill>
    </dxf>
    <dxf>
      <fill>
        <patternFill>
          <bgColor rgb="FFFCE4CC"/>
        </patternFill>
      </fill>
    </dxf>
    <dxf>
      <fill>
        <patternFill>
          <bgColor rgb="FFD5EDEC"/>
        </patternFill>
      </fill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5EDEC"/>
      <rgbColor rgb="FF660066"/>
      <rgbColor rgb="FFFF8080"/>
      <rgbColor rgb="FF0066CC"/>
      <rgbColor rgb="FFD0D5D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7F7"/>
      <rgbColor rgb="FFCCFFCC"/>
      <rgbColor rgb="FFFCE4CC"/>
      <rgbColor rgb="FF99CCFF"/>
      <rgbColor rgb="FFFF99CC"/>
      <rgbColor rgb="FFCC99FF"/>
      <rgbColor rgb="FFF8D7D7"/>
      <rgbColor rgb="FF3366FF"/>
      <rgbColor rgb="FF5CAFAE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2"/>
    <col collapsed="false" customWidth="true" hidden="false" outlineLevel="0" max="3" min="3" style="0" width="30"/>
    <col collapsed="false" customWidth="true" hidden="false" outlineLevel="0" max="4" min="4" style="0" width="2"/>
    <col collapsed="false" customWidth="true" hidden="false" outlineLevel="0" max="5" min="5" style="0" width="50"/>
  </cols>
  <sheetData>
    <row r="1" customFormat="false" ht="25.5" hidden="false" customHeight="true" outlineLevel="0" collapsed="false">
      <c r="A1" s="1" t="s">
        <v>0</v>
      </c>
      <c r="B1" s="2"/>
      <c r="C1" s="2"/>
      <c r="D1" s="2"/>
      <c r="E1" s="2"/>
      <c r="F1" s="2"/>
    </row>
    <row r="2" customFormat="false" ht="15.75" hidden="false" customHeight="true" outlineLevel="0" collapsed="false">
      <c r="A2" s="3" t="s">
        <v>1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4" t="s">
        <v>2</v>
      </c>
    </row>
    <row r="6" customFormat="false" ht="19.5" hidden="false" customHeight="true" outlineLevel="0" collapsed="false">
      <c r="A6" s="5" t="s">
        <v>3</v>
      </c>
      <c r="B6" s="6"/>
      <c r="C6" s="6"/>
      <c r="D6" s="6"/>
      <c r="E6" s="6"/>
      <c r="F6" s="6"/>
    </row>
    <row r="7" customFormat="false" ht="15" hidden="false" customHeight="false" outlineLevel="0" collapsed="false">
      <c r="A7" s="7" t="s">
        <v>4</v>
      </c>
      <c r="C7" s="8" t="n">
        <v>4</v>
      </c>
      <c r="E7" s="9" t="s">
        <v>5</v>
      </c>
    </row>
    <row r="8" customFormat="false" ht="15" hidden="false" customHeight="false" outlineLevel="0" collapsed="false">
      <c r="A8" s="7" t="s">
        <v>6</v>
      </c>
      <c r="C8" s="10" t="s">
        <v>7</v>
      </c>
      <c r="E8" s="9" t="s">
        <v>8</v>
      </c>
    </row>
    <row r="9" customFormat="false" ht="15" hidden="false" customHeight="false" outlineLevel="0" collapsed="false">
      <c r="A9" s="7" t="s">
        <v>9</v>
      </c>
      <c r="C9" s="10" t="s">
        <v>10</v>
      </c>
      <c r="E9" s="9" t="s">
        <v>11</v>
      </c>
    </row>
    <row r="11" customFormat="false" ht="19.5" hidden="false" customHeight="true" outlineLevel="0" collapsed="false">
      <c r="A11" s="5" t="s">
        <v>12</v>
      </c>
      <c r="B11" s="6"/>
      <c r="C11" s="6"/>
      <c r="D11" s="6"/>
      <c r="E11" s="6"/>
      <c r="F11" s="6"/>
    </row>
    <row r="12" customFormat="false" ht="15" hidden="false" customHeight="false" outlineLevel="0" collapsed="false">
      <c r="A12" s="7" t="s">
        <v>13</v>
      </c>
      <c r="C12" s="11" t="str">
        <f aca="false">IF($C$7&gt;=1,IFERROR(INDEX(Referenz!$B$6:$G$9,MATCH($C$7,Referenz!$A$6:$A$9,0),1),"—"),"Ruhetag")</f>
        <v>Oberkörper</v>
      </c>
    </row>
    <row r="13" customFormat="false" ht="15" hidden="false" customHeight="false" outlineLevel="0" collapsed="false">
      <c r="A13" s="7" t="s">
        <v>14</v>
      </c>
      <c r="C13" s="11" t="str">
        <f aca="false">IF($C$7&gt;=2,IFERROR(INDEX(Referenz!$B$6:$G$9,MATCH($C$7,Referenz!$A$6:$A$9,0),2),"—"),"Ruhetag")</f>
        <v>Unterkörper</v>
      </c>
    </row>
    <row r="14" customFormat="false" ht="15" hidden="false" customHeight="false" outlineLevel="0" collapsed="false">
      <c r="A14" s="7" t="s">
        <v>15</v>
      </c>
      <c r="C14" s="11" t="str">
        <f aca="false">IF($C$7&gt;=3,IFERROR(INDEX(Referenz!$B$6:$G$9,MATCH($C$7,Referenz!$A$6:$A$9,0),3),"—"),"Ruhetag")</f>
        <v>Oberkörper</v>
      </c>
    </row>
    <row r="15" customFormat="false" ht="15" hidden="false" customHeight="false" outlineLevel="0" collapsed="false">
      <c r="A15" s="7" t="s">
        <v>16</v>
      </c>
      <c r="C15" s="11" t="str">
        <f aca="false">IF($C$7&gt;=4,IFERROR(INDEX(Referenz!$B$6:$G$9,MATCH($C$7,Referenz!$A$6:$A$9,0),4),"—"),"Ruhetag")</f>
        <v>Unterkörper</v>
      </c>
    </row>
    <row r="16" customFormat="false" ht="15" hidden="false" customHeight="false" outlineLevel="0" collapsed="false">
      <c r="A16" s="7" t="s">
        <v>17</v>
      </c>
      <c r="C16" s="11" t="str">
        <f aca="false">IF($C$7&gt;=5,IFERROR(INDEX(Referenz!$B$6:$G$9,MATCH($C$7,Referenz!$A$6:$A$9,0),5),"—"),"Ruhetag")</f>
        <v>Ruhetag</v>
      </c>
    </row>
    <row r="17" customFormat="false" ht="15" hidden="false" customHeight="false" outlineLevel="0" collapsed="false">
      <c r="A17" s="7" t="s">
        <v>18</v>
      </c>
      <c r="C17" s="11" t="str">
        <f aca="false">IF($C$7&gt;=6,IFERROR(INDEX(Referenz!$B$6:$G$9,MATCH($C$7,Referenz!$A$6:$A$9,0),6),"—"),"Ruhetag")</f>
        <v>Ruhetag</v>
      </c>
    </row>
    <row r="19" customFormat="false" ht="19.5" hidden="false" customHeight="true" outlineLevel="0" collapsed="false">
      <c r="A19" s="5" t="s">
        <v>19</v>
      </c>
      <c r="B19" s="6"/>
      <c r="C19" s="6"/>
      <c r="D19" s="6"/>
      <c r="E19" s="6"/>
      <c r="F19" s="6"/>
    </row>
    <row r="20" customFormat="false" ht="15" hidden="false" customHeight="false" outlineLevel="0" collapsed="false">
      <c r="A20" s="7" t="s">
        <v>20</v>
      </c>
      <c r="C20" s="12" t="n">
        <f aca="false">SUM('Dein Plan'!$C$6:$C$75)</f>
        <v>112</v>
      </c>
    </row>
    <row r="21" customFormat="false" ht="15" hidden="false" customHeight="false" outlineLevel="0" collapsed="false">
      <c r="A21" s="7" t="s">
        <v>21</v>
      </c>
      <c r="C21" s="13" t="str">
        <f aca="false">COUNTIF(Volumen!$Q$7:$Q$16,"ok")&amp;" von 10"</f>
        <v>10 von 10</v>
      </c>
    </row>
    <row r="23" customFormat="false" ht="15" hidden="false" customHeight="false" outlineLevel="0" collapsed="false">
      <c r="A23" s="14" t="s">
        <v>22</v>
      </c>
    </row>
    <row r="25" customFormat="false" ht="15" hidden="false" customHeight="false" outlineLevel="0" collapsed="false">
      <c r="A25" s="15" t="s">
        <v>23</v>
      </c>
      <c r="B25" s="16"/>
      <c r="C25" s="16"/>
      <c r="D25" s="16"/>
      <c r="E25" s="16"/>
      <c r="F25" s="16"/>
    </row>
  </sheetData>
  <sheetProtection sheet="true" formatCells="false" selectLockedCells="true" selectUnlockedCells="true"/>
  <dataValidations count="3">
    <dataValidation allowBlank="true" errorStyle="stop" operator="between" showDropDown="false" showErrorMessage="false" showInputMessage="false" sqref="C7" type="list">
      <formula1>"3,4,5,6"</formula1>
      <formula2>0</formula2>
    </dataValidation>
    <dataValidation allowBlank="true" errorStyle="stop" operator="between" showDropDown="false" showErrorMessage="false" showInputMessage="false" sqref="C8" type="list">
      <formula1>"Vollausstattung,Basic Gym,Home Gym"</formula1>
      <formula2>0</formula2>
    </dataValidation>
    <dataValidation allowBlank="true" errorStyle="stop" operator="between" showDropDown="false" showErrorMessage="false" showInputMessage="false" sqref="C9" type="list">
      <formula1>"Anfänger (unter 1 Jahr),Fortgeschritten (1–3 Jahre),Erfahren (über 3 Jahre)"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6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6"/>
    <col collapsed="false" customWidth="true" hidden="false" outlineLevel="0" max="3" min="3" style="0" width="9"/>
    <col collapsed="false" customWidth="true" hidden="false" outlineLevel="0" max="4" min="4" style="0" width="12"/>
    <col collapsed="false" customWidth="true" hidden="false" outlineLevel="0" max="5" min="5" style="0" width="9"/>
    <col collapsed="false" customWidth="true" hidden="false" outlineLevel="0" max="6" min="6" style="0" width="44"/>
    <col collapsed="false" customWidth="true" hidden="false" outlineLevel="0" max="8" min="7" style="0" width="14"/>
  </cols>
  <sheetData>
    <row r="1" customFormat="false" ht="25.5" hidden="false" customHeight="true" outlineLevel="0" collapsed="false">
      <c r="A1" s="1" t="s">
        <v>24</v>
      </c>
      <c r="B1" s="2"/>
      <c r="C1" s="2"/>
      <c r="D1" s="2"/>
      <c r="E1" s="2"/>
      <c r="F1" s="2"/>
    </row>
    <row r="2" customFormat="false" ht="15.75" hidden="false" customHeight="true" outlineLevel="0" collapsed="false">
      <c r="A2" s="3" t="s">
        <v>25</v>
      </c>
      <c r="B2" s="2"/>
      <c r="C2" s="2"/>
      <c r="D2" s="2"/>
      <c r="E2" s="2"/>
      <c r="F2" s="2"/>
    </row>
    <row r="6" customFormat="false" ht="19.5" hidden="false" customHeight="true" outlineLevel="0" collapsed="false">
      <c r="A6" s="17" t="str">
        <f aca="false">IF(Start!$C$7&gt;=1,"EINHEIT 1  ·  "&amp;H6,"")</f>
        <v>EINHEIT 1  ·  Oberkörper</v>
      </c>
      <c r="B6" s="2"/>
      <c r="C6" s="2"/>
      <c r="D6" s="2"/>
      <c r="E6" s="2"/>
      <c r="F6" s="2"/>
      <c r="H6" s="18" t="str">
        <f aca="false">IF(Start!$C$7&gt;=1,IFERROR(INDEX(Referenz!$B$6:$G$9,MATCH(Start!$C$7,Referenz!$A$6:$A$9,0),1),""),"")</f>
        <v>Oberkörper</v>
      </c>
    </row>
    <row r="7" customFormat="false" ht="15" hidden="false" customHeight="false" outlineLevel="0" collapsed="false">
      <c r="A7" s="19" t="str">
        <f aca="false">IF(Start!$C$7&gt;=1,"Übung","")</f>
        <v>Übung</v>
      </c>
      <c r="B7" s="19" t="str">
        <f aca="false">IF(Start!$C$7&gt;=1,"Muskelgruppe","")</f>
        <v>Muskelgruppe</v>
      </c>
      <c r="C7" s="19" t="str">
        <f aca="false">IF(Start!$C$7&gt;=1,"Sätze","")</f>
        <v>Sätze</v>
      </c>
      <c r="D7" s="19" t="str">
        <f aca="false">IF(Start!$C$7&gt;=1,"Wdh","")</f>
        <v>Wdh</v>
      </c>
      <c r="E7" s="19" t="str">
        <f aca="false">IF(Start!$C$7&gt;=1,"RIR","")</f>
        <v>RIR</v>
      </c>
      <c r="F7" s="19" t="str">
        <f aca="false">IF(Start!$C$7&gt;=1,"Hinweis","")</f>
        <v>Hinweis</v>
      </c>
      <c r="G7" s="20" t="str">
        <f aca="false">IF(Start!$C$7&gt;=1,"Sekundär","")</f>
        <v>Sekundär</v>
      </c>
    </row>
    <row r="8" customFormat="false" ht="15" hidden="false" customHeight="false" outlineLevel="0" collapsed="false">
      <c r="A8" s="21" t="str">
        <f aca="false">IF(Start!$C$7&lt;1,"",IFERROR(IF(Start!$C$8="Vollausstattung",IFERROR(INDEX(Referenz!$B$14:$H$21,MATCH($H$6,Referenz!$A$14:$A$21,0),1),""),INDEX(IF(Start!$C$8="Basic Gym",Übungen!$D$6:$D$28,Übungen!$E$6:$E$28),MATCH(IFERROR(INDEX(Referenz!$B$14:$H$21,MATCH($H$6,Referenz!$A$14:$A$21,0),1),""),Übungen!$A$6:$A$28,0))),""))</f>
        <v>Bankdrücken Langhantel</v>
      </c>
      <c r="B8" s="22" t="str">
        <f aca="false">IF(Start!$C$7&lt;1,"",IFERROR(INDEX(Übungen!$B$6:$B$28,MATCH(IFERROR(INDEX(Referenz!$B$14:$H$21,MATCH($H$6,Referenz!$A$14:$A$21,0),1),""),Übungen!$A$6:$A$28,0)),""))</f>
        <v>Brust</v>
      </c>
      <c r="C8" s="22" t="n">
        <f aca="false">IF(Start!$C$7&lt;1,"",IFERROR(MIN(6,MAX(2,ROUND(INDEX(Übungen!$G$6:$G$28,MATCH(IFERROR(INDEX(Referenz!$B$14:$H$21,MATCH($H$6,Referenz!$A$14:$A$21,0),1),""),Übungen!$A$6:$A$28,0))*IFERROR(INDEX(Referenz!$B$26:$B$28,MATCH(Start!$C$9,Referenz!$A$26:$A$28,0)),1)*IFERROR(INDEX(Referenz!$B$30:$B$33,MATCH(Start!$C$7,Referenz!$A$30:$A$33,0)),1)*Referenz!$B$34,0))),""))</f>
        <v>4</v>
      </c>
      <c r="D8" s="22" t="str">
        <f aca="false">IF(Start!$C$7&lt;1,"",IFERROR(INDEX(Übungen!$F$6:$F$28,MATCH(IFERROR(INDEX(Referenz!$B$14:$H$21,MATCH($H$6,Referenz!$A$14:$A$21,0),1),""),Übungen!$A$6:$A$28,0)),""))</f>
        <v>5 – 8</v>
      </c>
      <c r="E8" s="22" t="str">
        <f aca="false">IF(Start!$C$7&lt;1,"","1 – 3")</f>
        <v>1 – 3</v>
      </c>
      <c r="F8" s="23" t="str">
        <f aca="false">IF(Start!$C$7&lt;1,"",IFERROR(INDEX(Übungen!$H$6:$H$28,MATCH(IFERROR(INDEX(Referenz!$B$14:$H$21,MATCH($H$6,Referenz!$A$14:$A$21,0),1),""),Übungen!$A$6:$A$28,0)),""))</f>
        <v>Schulterblätter fixieren, Ellbogen ca. 45°</v>
      </c>
      <c r="G8" s="24" t="str">
        <f aca="false">IF(Start!$C$7&lt;1,"",IFERROR(INDEX(Übungen!$C$6:$C$28,MATCH(IFERROR(INDEX(Referenz!$B$14:$H$21,MATCH($H$6,Referenz!$A$14:$A$21,0),1),""),Übungen!$A$6:$A$28,0))&amp;"",""))</f>
        <v>Trizeps</v>
      </c>
    </row>
    <row r="9" customFormat="false" ht="15" hidden="false" customHeight="false" outlineLevel="0" collapsed="false">
      <c r="A9" s="21" t="str">
        <f aca="false">IF(Start!$C$7&lt;1,"",IFERROR(IF(Start!$C$8="Vollausstattung",IFERROR(INDEX(Referenz!$B$14:$H$21,MATCH($H$6,Referenz!$A$14:$A$21,0),2),""),INDEX(IF(Start!$C$8="Basic Gym",Übungen!$D$6:$D$28,Übungen!$E$6:$E$28),MATCH(IFERROR(INDEX(Referenz!$B$14:$H$21,MATCH($H$6,Referenz!$A$14:$A$21,0),2),""),Übungen!$A$6:$A$28,0))),""))</f>
        <v>Schrägbankdrücken Kurzhantel</v>
      </c>
      <c r="B9" s="22" t="str">
        <f aca="false">IF(Start!$C$7&lt;1,"",IFERROR(INDEX(Übungen!$B$6:$B$28,MATCH(IFERROR(INDEX(Referenz!$B$14:$H$21,MATCH($H$6,Referenz!$A$14:$A$21,0),2),""),Übungen!$A$6:$A$28,0)),""))</f>
        <v>Brust</v>
      </c>
      <c r="C9" s="22" t="n">
        <f aca="false">IF(Start!$C$7&lt;1,"",IFERROR(MIN(6,MAX(2,ROUND(INDEX(Übungen!$G$6:$G$28,MATCH(IFERROR(INDEX(Referenz!$B$14:$H$21,MATCH($H$6,Referenz!$A$14:$A$21,0),2),""),Übungen!$A$6:$A$28,0))*IFERROR(INDEX(Referenz!$B$26:$B$28,MATCH(Start!$C$9,Referenz!$A$26:$A$28,0)),1)*IFERROR(INDEX(Referenz!$B$30:$B$33,MATCH(Start!$C$7,Referenz!$A$30:$A$33,0)),1)*Referenz!$B$34,0))),""))</f>
        <v>4</v>
      </c>
      <c r="D9" s="22" t="str">
        <f aca="false">IF(Start!$C$7&lt;1,"",IFERROR(INDEX(Übungen!$F$6:$F$28,MATCH(IFERROR(INDEX(Referenz!$B$14:$H$21,MATCH($H$6,Referenz!$A$14:$A$21,0),2),""),Übungen!$A$6:$A$28,0)),""))</f>
        <v>8 – 12</v>
      </c>
      <c r="E9" s="22" t="str">
        <f aca="false">IF(Start!$C$7&lt;1,"","1 – 3")</f>
        <v>1 – 3</v>
      </c>
      <c r="F9" s="23" t="str">
        <f aca="false">IF(Start!$C$7&lt;1,"",IFERROR(INDEX(Übungen!$H$6:$H$28,MATCH(IFERROR(INDEX(Referenz!$B$14:$H$21,MATCH($H$6,Referenz!$A$14:$A$21,0),2),""),Übungen!$A$6:$A$28,0)),""))</f>
        <v>Bank auf 30°, nicht steiler</v>
      </c>
      <c r="G9" s="24" t="str">
        <f aca="false">IF(Start!$C$7&lt;1,"",IFERROR(INDEX(Übungen!$C$6:$C$28,MATCH(IFERROR(INDEX(Referenz!$B$14:$H$21,MATCH($H$6,Referenz!$A$14:$A$21,0),2),""),Übungen!$A$6:$A$28,0))&amp;"",""))</f>
        <v>Trizeps</v>
      </c>
    </row>
    <row r="10" customFormat="false" ht="15" hidden="false" customHeight="false" outlineLevel="0" collapsed="false">
      <c r="A10" s="21" t="str">
        <f aca="false">IF(Start!$C$7&lt;1,"",IFERROR(IF(Start!$C$8="Vollausstattung",IFERROR(INDEX(Referenz!$B$14:$H$21,MATCH($H$6,Referenz!$A$14:$A$21,0),3),""),INDEX(IF(Start!$C$8="Basic Gym",Übungen!$D$6:$D$28,Übungen!$E$6:$E$28),MATCH(IFERROR(INDEX(Referenz!$B$14:$H$21,MATCH($H$6,Referenz!$A$14:$A$21,0),3),""),Übungen!$A$6:$A$28,0))),""))</f>
        <v>Langhantelrudern</v>
      </c>
      <c r="B10" s="22" t="str">
        <f aca="false">IF(Start!$C$7&lt;1,"",IFERROR(INDEX(Übungen!$B$6:$B$28,MATCH(IFERROR(INDEX(Referenz!$B$14:$H$21,MATCH($H$6,Referenz!$A$14:$A$21,0),3),""),Übungen!$A$6:$A$28,0)),""))</f>
        <v>Rücken</v>
      </c>
      <c r="C10" s="22" t="n">
        <f aca="false">IF(Start!$C$7&lt;1,"",IFERROR(MIN(6,MAX(2,ROUND(INDEX(Übungen!$G$6:$G$28,MATCH(IFERROR(INDEX(Referenz!$B$14:$H$21,MATCH($H$6,Referenz!$A$14:$A$21,0),3),""),Übungen!$A$6:$A$28,0))*IFERROR(INDEX(Referenz!$B$26:$B$28,MATCH(Start!$C$9,Referenz!$A$26:$A$28,0)),1)*IFERROR(INDEX(Referenz!$B$30:$B$33,MATCH(Start!$C$7,Referenz!$A$30:$A$33,0)),1)*Referenz!$B$34,0))),""))</f>
        <v>4</v>
      </c>
      <c r="D10" s="22" t="str">
        <f aca="false">IF(Start!$C$7&lt;1,"",IFERROR(INDEX(Übungen!$F$6:$F$28,MATCH(IFERROR(INDEX(Referenz!$B$14:$H$21,MATCH($H$6,Referenz!$A$14:$A$21,0),3),""),Übungen!$A$6:$A$28,0)),""))</f>
        <v>6 – 10</v>
      </c>
      <c r="E10" s="22" t="str">
        <f aca="false">IF(Start!$C$7&lt;1,"","1 – 3")</f>
        <v>1 – 3</v>
      </c>
      <c r="F10" s="23" t="str">
        <f aca="false">IF(Start!$C$7&lt;1,"",IFERROR(INDEX(Übungen!$H$6:$H$28,MATCH(IFERROR(INDEX(Referenz!$B$14:$H$21,MATCH($H$6,Referenz!$A$14:$A$21,0),3),""),Übungen!$A$6:$A$28,0)),""))</f>
        <v>Rücken neutral, zum unteren Brustkorb ziehen</v>
      </c>
      <c r="G10" s="24" t="str">
        <f aca="false">IF(Start!$C$7&lt;1,"",IFERROR(INDEX(Übungen!$C$6:$C$28,MATCH(IFERROR(INDEX(Referenz!$B$14:$H$21,MATCH($H$6,Referenz!$A$14:$A$21,0),3),""),Übungen!$A$6:$A$28,0))&amp;"",""))</f>
        <v>Bizeps</v>
      </c>
    </row>
    <row r="11" customFormat="false" ht="15" hidden="false" customHeight="false" outlineLevel="0" collapsed="false">
      <c r="A11" s="21" t="str">
        <f aca="false">IF(Start!$C$7&lt;1,"",IFERROR(IF(Start!$C$8="Vollausstattung",IFERROR(INDEX(Referenz!$B$14:$H$21,MATCH($H$6,Referenz!$A$14:$A$21,0),4),""),INDEX(IF(Start!$C$8="Basic Gym",Übungen!$D$6:$D$28,Übungen!$E$6:$E$28),MATCH(IFERROR(INDEX(Referenz!$B$14:$H$21,MATCH($H$6,Referenz!$A$14:$A$21,0),4),""),Übungen!$A$6:$A$28,0))),""))</f>
        <v>Latzug eng</v>
      </c>
      <c r="B11" s="22" t="str">
        <f aca="false">IF(Start!$C$7&lt;1,"",IFERROR(INDEX(Übungen!$B$6:$B$28,MATCH(IFERROR(INDEX(Referenz!$B$14:$H$21,MATCH($H$6,Referenz!$A$14:$A$21,0),4),""),Übungen!$A$6:$A$28,0)),""))</f>
        <v>Rücken</v>
      </c>
      <c r="C11" s="22" t="n">
        <f aca="false">IF(Start!$C$7&lt;1,"",IFERROR(MIN(6,MAX(2,ROUND(INDEX(Übungen!$G$6:$G$28,MATCH(IFERROR(INDEX(Referenz!$B$14:$H$21,MATCH($H$6,Referenz!$A$14:$A$21,0),4),""),Übungen!$A$6:$A$28,0))*IFERROR(INDEX(Referenz!$B$26:$B$28,MATCH(Start!$C$9,Referenz!$A$26:$A$28,0)),1)*IFERROR(INDEX(Referenz!$B$30:$B$33,MATCH(Start!$C$7,Referenz!$A$30:$A$33,0)),1)*Referenz!$B$34,0))),""))</f>
        <v>4</v>
      </c>
      <c r="D11" s="22" t="str">
        <f aca="false">IF(Start!$C$7&lt;1,"",IFERROR(INDEX(Übungen!$F$6:$F$28,MATCH(IFERROR(INDEX(Referenz!$B$14:$H$21,MATCH($H$6,Referenz!$A$14:$A$21,0),4),""),Übungen!$A$6:$A$28,0)),""))</f>
        <v>8 – 12</v>
      </c>
      <c r="E11" s="22" t="str">
        <f aca="false">IF(Start!$C$7&lt;1,"","1 – 3")</f>
        <v>1 – 3</v>
      </c>
      <c r="F11" s="23" t="str">
        <f aca="false">IF(Start!$C$7&lt;1,"",IFERROR(INDEX(Übungen!$H$6:$H$28,MATCH(IFERROR(INDEX(Referenz!$B$14:$H$21,MATCH($H$6,Referenz!$A$14:$A$21,0),4),""),Übungen!$A$6:$A$28,0)),""))</f>
        <v>Brust raus, Ellbogen nach unten führen</v>
      </c>
      <c r="G11" s="24" t="str">
        <f aca="false">IF(Start!$C$7&lt;1,"",IFERROR(INDEX(Übungen!$C$6:$C$28,MATCH(IFERROR(INDEX(Referenz!$B$14:$H$21,MATCH($H$6,Referenz!$A$14:$A$21,0),4),""),Übungen!$A$6:$A$28,0))&amp;"",""))</f>
        <v>Bizeps</v>
      </c>
    </row>
    <row r="12" customFormat="false" ht="15" hidden="false" customHeight="false" outlineLevel="0" collapsed="false">
      <c r="A12" s="21" t="str">
        <f aca="false">IF(Start!$C$7&lt;1,"",IFERROR(IF(Start!$C$8="Vollausstattung",IFERROR(INDEX(Referenz!$B$14:$H$21,MATCH($H$6,Referenz!$A$14:$A$21,0),5),""),INDEX(IF(Start!$C$8="Basic Gym",Übungen!$D$6:$D$28,Übungen!$E$6:$E$28),MATCH(IFERROR(INDEX(Referenz!$B$14:$H$21,MATCH($H$6,Referenz!$A$14:$A$21,0),5),""),Übungen!$A$6:$A$28,0))),""))</f>
        <v>Seitheben</v>
      </c>
      <c r="B12" s="22" t="str">
        <f aca="false">IF(Start!$C$7&lt;1,"",IFERROR(INDEX(Übungen!$B$6:$B$28,MATCH(IFERROR(INDEX(Referenz!$B$14:$H$21,MATCH($H$6,Referenz!$A$14:$A$21,0),5),""),Übungen!$A$6:$A$28,0)),""))</f>
        <v>Schultern</v>
      </c>
      <c r="C12" s="22" t="n">
        <f aca="false">IF(Start!$C$7&lt;1,"",IFERROR(MIN(6,MAX(2,ROUND(INDEX(Übungen!$G$6:$G$28,MATCH(IFERROR(INDEX(Referenz!$B$14:$H$21,MATCH($H$6,Referenz!$A$14:$A$21,0),5),""),Übungen!$A$6:$A$28,0))*IFERROR(INDEX(Referenz!$B$26:$B$28,MATCH(Start!$C$9,Referenz!$A$26:$A$28,0)),1)*IFERROR(INDEX(Referenz!$B$30:$B$33,MATCH(Start!$C$7,Referenz!$A$30:$A$33,0)),1)*Referenz!$B$34,0))),""))</f>
        <v>4</v>
      </c>
      <c r="D12" s="22" t="str">
        <f aca="false">IF(Start!$C$7&lt;1,"",IFERROR(INDEX(Übungen!$F$6:$F$28,MATCH(IFERROR(INDEX(Referenz!$B$14:$H$21,MATCH($H$6,Referenz!$A$14:$A$21,0),5),""),Übungen!$A$6:$A$28,0)),""))</f>
        <v>12 – 20</v>
      </c>
      <c r="E12" s="22" t="str">
        <f aca="false">IF(Start!$C$7&lt;1,"","1 – 3")</f>
        <v>1 – 3</v>
      </c>
      <c r="F12" s="23" t="str">
        <f aca="false">IF(Start!$C$7&lt;1,"",IFERROR(INDEX(Übungen!$H$6:$H$28,MATCH(IFERROR(INDEX(Referenz!$B$14:$H$21,MATCH($H$6,Referenz!$A$14:$A$21,0),5),""),Übungen!$A$6:$A$28,0)),""))</f>
        <v>Leichtes Gewicht, saubere Führung</v>
      </c>
      <c r="G12" s="24" t="str">
        <f aca="false">IF(Start!$C$7&lt;1,"",IFERROR(INDEX(Übungen!$C$6:$C$28,MATCH(IFERROR(INDEX(Referenz!$B$14:$H$21,MATCH($H$6,Referenz!$A$14:$A$21,0),5),""),Übungen!$A$6:$A$28,0))&amp;"",""))</f>
        <v/>
      </c>
    </row>
    <row r="13" customFormat="false" ht="15" hidden="false" customHeight="false" outlineLevel="0" collapsed="false">
      <c r="A13" s="21" t="str">
        <f aca="false">IF(Start!$C$7&lt;1,"",IFERROR(IF(Start!$C$8="Vollausstattung",IFERROR(INDEX(Referenz!$B$14:$H$21,MATCH($H$6,Referenz!$A$14:$A$21,0),6),""),INDEX(IF(Start!$C$8="Basic Gym",Übungen!$D$6:$D$28,Übungen!$E$6:$E$28),MATCH(IFERROR(INDEX(Referenz!$B$14:$H$21,MATCH($H$6,Referenz!$A$14:$A$21,0),6),""),Übungen!$A$6:$A$28,0))),""))</f>
        <v>Bizepscurls Langhantel</v>
      </c>
      <c r="B13" s="22" t="str">
        <f aca="false">IF(Start!$C$7&lt;1,"",IFERROR(INDEX(Übungen!$B$6:$B$28,MATCH(IFERROR(INDEX(Referenz!$B$14:$H$21,MATCH($H$6,Referenz!$A$14:$A$21,0),6),""),Übungen!$A$6:$A$28,0)),""))</f>
        <v>Bizeps</v>
      </c>
      <c r="C13" s="22" t="n">
        <f aca="false">IF(Start!$C$7&lt;1,"",IFERROR(MIN(6,MAX(2,ROUND(INDEX(Übungen!$G$6:$G$28,MATCH(IFERROR(INDEX(Referenz!$B$14:$H$21,MATCH($H$6,Referenz!$A$14:$A$21,0),6),""),Übungen!$A$6:$A$28,0))*IFERROR(INDEX(Referenz!$B$26:$B$28,MATCH(Start!$C$9,Referenz!$A$26:$A$28,0)),1)*IFERROR(INDEX(Referenz!$B$30:$B$33,MATCH(Start!$C$7,Referenz!$A$30:$A$33,0)),1)*Referenz!$B$34,0))),""))</f>
        <v>4</v>
      </c>
      <c r="D13" s="22" t="str">
        <f aca="false">IF(Start!$C$7&lt;1,"",IFERROR(INDEX(Übungen!$F$6:$F$28,MATCH(IFERROR(INDEX(Referenz!$B$14:$H$21,MATCH($H$6,Referenz!$A$14:$A$21,0),6),""),Übungen!$A$6:$A$28,0)),""))</f>
        <v>8 – 12</v>
      </c>
      <c r="E13" s="22" t="str">
        <f aca="false">IF(Start!$C$7&lt;1,"","1 – 3")</f>
        <v>1 – 3</v>
      </c>
      <c r="F13" s="23" t="str">
        <f aca="false">IF(Start!$C$7&lt;1,"",IFERROR(INDEX(Übungen!$H$6:$H$28,MATCH(IFERROR(INDEX(Referenz!$B$14:$H$21,MATCH($H$6,Referenz!$A$14:$A$21,0),6),""),Übungen!$A$6:$A$28,0)),""))</f>
        <v>Ellbogen am Körper</v>
      </c>
      <c r="G13" s="24" t="str">
        <f aca="false">IF(Start!$C$7&lt;1,"",IFERROR(INDEX(Übungen!$C$6:$C$28,MATCH(IFERROR(INDEX(Referenz!$B$14:$H$21,MATCH($H$6,Referenz!$A$14:$A$21,0),6),""),Übungen!$A$6:$A$28,0))&amp;"",""))</f>
        <v/>
      </c>
    </row>
    <row r="14" customFormat="false" ht="15" hidden="false" customHeight="false" outlineLevel="0" collapsed="false">
      <c r="A14" s="21" t="str">
        <f aca="false">IF(Start!$C$7&lt;1,"",IFERROR(IF(Start!$C$8="Vollausstattung",IFERROR(INDEX(Referenz!$B$14:$H$21,MATCH($H$6,Referenz!$A$14:$A$21,0),7),""),INDEX(IF(Start!$C$8="Basic Gym",Übungen!$D$6:$D$28,Übungen!$E$6:$E$28),MATCH(IFERROR(INDEX(Referenz!$B$14:$H$21,MATCH($H$6,Referenz!$A$14:$A$21,0),7),""),Übungen!$A$6:$A$28,0))),""))</f>
        <v>Trizepsdrücken Kabel</v>
      </c>
      <c r="B14" s="22" t="str">
        <f aca="false">IF(Start!$C$7&lt;1,"",IFERROR(INDEX(Übungen!$B$6:$B$28,MATCH(IFERROR(INDEX(Referenz!$B$14:$H$21,MATCH($H$6,Referenz!$A$14:$A$21,0),7),""),Übungen!$A$6:$A$28,0)),""))</f>
        <v>Trizeps</v>
      </c>
      <c r="C14" s="22" t="n">
        <f aca="false">IF(Start!$C$7&lt;1,"",IFERROR(MIN(6,MAX(2,ROUND(INDEX(Übungen!$G$6:$G$28,MATCH(IFERROR(INDEX(Referenz!$B$14:$H$21,MATCH($H$6,Referenz!$A$14:$A$21,0),7),""),Übungen!$A$6:$A$28,0))*IFERROR(INDEX(Referenz!$B$26:$B$28,MATCH(Start!$C$9,Referenz!$A$26:$A$28,0)),1)*IFERROR(INDEX(Referenz!$B$30:$B$33,MATCH(Start!$C$7,Referenz!$A$30:$A$33,0)),1)*Referenz!$B$34,0))),""))</f>
        <v>4</v>
      </c>
      <c r="D14" s="22" t="str">
        <f aca="false">IF(Start!$C$7&lt;1,"",IFERROR(INDEX(Übungen!$F$6:$F$28,MATCH(IFERROR(INDEX(Referenz!$B$14:$H$21,MATCH($H$6,Referenz!$A$14:$A$21,0),7),""),Übungen!$A$6:$A$28,0)),""))</f>
        <v>10 – 15</v>
      </c>
      <c r="E14" s="22" t="str">
        <f aca="false">IF(Start!$C$7&lt;1,"","1 – 3")</f>
        <v>1 – 3</v>
      </c>
      <c r="F14" s="23" t="str">
        <f aca="false">IF(Start!$C$7&lt;1,"",IFERROR(INDEX(Übungen!$H$6:$H$28,MATCH(IFERROR(INDEX(Referenz!$B$14:$H$21,MATCH($H$6,Referenz!$A$14:$A$21,0),7),""),Übungen!$A$6:$A$28,0)),""))</f>
        <v>Oberarm fixieren</v>
      </c>
      <c r="G14" s="24" t="str">
        <f aca="false">IF(Start!$C$7&lt;1,"",IFERROR(INDEX(Übungen!$C$6:$C$28,MATCH(IFERROR(INDEX(Referenz!$B$14:$H$21,MATCH($H$6,Referenz!$A$14:$A$21,0),7),""),Übungen!$A$6:$A$28,0))&amp;"",""))</f>
        <v/>
      </c>
    </row>
    <row r="16" customFormat="false" ht="19.5" hidden="false" customHeight="true" outlineLevel="0" collapsed="false">
      <c r="A16" s="17" t="str">
        <f aca="false">IF(Start!$C$7&gt;=2,"EINHEIT 2  ·  "&amp;H16,"")</f>
        <v>EINHEIT 2  ·  Unterkörper</v>
      </c>
      <c r="B16" s="2"/>
      <c r="C16" s="2"/>
      <c r="D16" s="2"/>
      <c r="E16" s="2"/>
      <c r="F16" s="2"/>
      <c r="H16" s="18" t="str">
        <f aca="false">IF(Start!$C$7&gt;=2,IFERROR(INDEX(Referenz!$B$6:$G$9,MATCH(Start!$C$7,Referenz!$A$6:$A$9,0),2),""),"")</f>
        <v>Unterkörper</v>
      </c>
    </row>
    <row r="17" customFormat="false" ht="15" hidden="false" customHeight="false" outlineLevel="0" collapsed="false">
      <c r="A17" s="19" t="str">
        <f aca="false">IF(Start!$C$7&gt;=2,"Übung","")</f>
        <v>Übung</v>
      </c>
      <c r="B17" s="19" t="str">
        <f aca="false">IF(Start!$C$7&gt;=2,"Muskelgruppe","")</f>
        <v>Muskelgruppe</v>
      </c>
      <c r="C17" s="19" t="str">
        <f aca="false">IF(Start!$C$7&gt;=2,"Sätze","")</f>
        <v>Sätze</v>
      </c>
      <c r="D17" s="19" t="str">
        <f aca="false">IF(Start!$C$7&gt;=2,"Wdh","")</f>
        <v>Wdh</v>
      </c>
      <c r="E17" s="19" t="str">
        <f aca="false">IF(Start!$C$7&gt;=2,"RIR","")</f>
        <v>RIR</v>
      </c>
      <c r="F17" s="19" t="str">
        <f aca="false">IF(Start!$C$7&gt;=2,"Hinweis","")</f>
        <v>Hinweis</v>
      </c>
      <c r="G17" s="20" t="str">
        <f aca="false">IF(Start!$C$7&gt;=2,"Sekundär","")</f>
        <v>Sekundär</v>
      </c>
    </row>
    <row r="18" customFormat="false" ht="15" hidden="false" customHeight="false" outlineLevel="0" collapsed="false">
      <c r="A18" s="21" t="str">
        <f aca="false">IF(Start!$C$7&lt;2,"",IFERROR(IF(Start!$C$8="Vollausstattung",IFERROR(INDEX(Referenz!$B$14:$H$21,MATCH($H$16,Referenz!$A$14:$A$21,0),1),""),INDEX(IF(Start!$C$8="Basic Gym",Übungen!$D$6:$D$28,Übungen!$E$6:$E$28),MATCH(IFERROR(INDEX(Referenz!$B$14:$H$21,MATCH($H$16,Referenz!$A$14:$A$21,0),1),""),Übungen!$A$6:$A$28,0))),""))</f>
        <v>Kniebeugen</v>
      </c>
      <c r="B18" s="22" t="str">
        <f aca="false">IF(Start!$C$7&lt;2,"",IFERROR(INDEX(Übungen!$B$6:$B$28,MATCH(IFERROR(INDEX(Referenz!$B$14:$H$21,MATCH($H$16,Referenz!$A$14:$A$21,0),1),""),Übungen!$A$6:$A$28,0)),""))</f>
        <v>Quadrizeps</v>
      </c>
      <c r="C18" s="22" t="n">
        <f aca="false">IF(Start!$C$7&lt;2,"",IFERROR(MIN(6,MAX(2,ROUND(INDEX(Übungen!$G$6:$G$28,MATCH(IFERROR(INDEX(Referenz!$B$14:$H$21,MATCH($H$16,Referenz!$A$14:$A$21,0),1),""),Übungen!$A$6:$A$28,0))*IFERROR(INDEX(Referenz!$B$26:$B$28,MATCH(Start!$C$9,Referenz!$A$26:$A$28,0)),1)*IFERROR(INDEX(Referenz!$B$30:$B$33,MATCH(Start!$C$7,Referenz!$A$30:$A$33,0)),1)*Referenz!$B$34,0))),""))</f>
        <v>4</v>
      </c>
      <c r="D18" s="22" t="str">
        <f aca="false">IF(Start!$C$7&lt;2,"",IFERROR(INDEX(Übungen!$F$6:$F$28,MATCH(IFERROR(INDEX(Referenz!$B$14:$H$21,MATCH($H$16,Referenz!$A$14:$A$21,0),1),""),Übungen!$A$6:$A$28,0)),""))</f>
        <v>5 – 8</v>
      </c>
      <c r="E18" s="22" t="str">
        <f aca="false">IF(Start!$C$7&lt;2,"","1 – 3")</f>
        <v>1 – 3</v>
      </c>
      <c r="F18" s="23" t="str">
        <f aca="false">IF(Start!$C$7&lt;2,"",IFERROR(INDEX(Übungen!$H$6:$H$28,MATCH(IFERROR(INDEX(Referenz!$B$14:$H$21,MATCH($H$16,Referenz!$A$14:$A$21,0),1),""),Übungen!$A$6:$A$28,0)),""))</f>
        <v>Mindestens bis zur Parallele</v>
      </c>
      <c r="G18" s="24" t="str">
        <f aca="false">IF(Start!$C$7&lt;2,"",IFERROR(INDEX(Übungen!$C$6:$C$28,MATCH(IFERROR(INDEX(Referenz!$B$14:$H$21,MATCH($H$16,Referenz!$A$14:$A$21,0),1),""),Übungen!$A$6:$A$28,0))&amp;"",""))</f>
        <v>Gesäß</v>
      </c>
    </row>
    <row r="19" customFormat="false" ht="15" hidden="false" customHeight="false" outlineLevel="0" collapsed="false">
      <c r="A19" s="21" t="str">
        <f aca="false">IF(Start!$C$7&lt;2,"",IFERROR(IF(Start!$C$8="Vollausstattung",IFERROR(INDEX(Referenz!$B$14:$H$21,MATCH($H$16,Referenz!$A$14:$A$21,0),2),""),INDEX(IF(Start!$C$8="Basic Gym",Übungen!$D$6:$D$28,Übungen!$E$6:$E$28),MATCH(IFERROR(INDEX(Referenz!$B$14:$H$21,MATCH($H$16,Referenz!$A$14:$A$21,0),2),""),Übungen!$A$6:$A$28,0))),""))</f>
        <v>Rumänisches Kreuzheben</v>
      </c>
      <c r="B19" s="22" t="str">
        <f aca="false">IF(Start!$C$7&lt;2,"",IFERROR(INDEX(Übungen!$B$6:$B$28,MATCH(IFERROR(INDEX(Referenz!$B$14:$H$21,MATCH($H$16,Referenz!$A$14:$A$21,0),2),""),Übungen!$A$6:$A$28,0)),""))</f>
        <v>Hamstrings</v>
      </c>
      <c r="C19" s="22" t="n">
        <f aca="false">IF(Start!$C$7&lt;2,"",IFERROR(MIN(6,MAX(2,ROUND(INDEX(Übungen!$G$6:$G$28,MATCH(IFERROR(INDEX(Referenz!$B$14:$H$21,MATCH($H$16,Referenz!$A$14:$A$21,0),2),""),Übungen!$A$6:$A$28,0))*IFERROR(INDEX(Referenz!$B$26:$B$28,MATCH(Start!$C$9,Referenz!$A$26:$A$28,0)),1)*IFERROR(INDEX(Referenz!$B$30:$B$33,MATCH(Start!$C$7,Referenz!$A$30:$A$33,0)),1)*Referenz!$B$34,0))),""))</f>
        <v>4</v>
      </c>
      <c r="D19" s="22" t="str">
        <f aca="false">IF(Start!$C$7&lt;2,"",IFERROR(INDEX(Übungen!$F$6:$F$28,MATCH(IFERROR(INDEX(Referenz!$B$14:$H$21,MATCH($H$16,Referenz!$A$14:$A$21,0),2),""),Übungen!$A$6:$A$28,0)),""))</f>
        <v>8 – 10</v>
      </c>
      <c r="E19" s="22" t="str">
        <f aca="false">IF(Start!$C$7&lt;2,"","1 – 3")</f>
        <v>1 – 3</v>
      </c>
      <c r="F19" s="23" t="str">
        <f aca="false">IF(Start!$C$7&lt;2,"",IFERROR(INDEX(Übungen!$H$6:$H$28,MATCH(IFERROR(INDEX(Referenz!$B$14:$H$21,MATCH($H$16,Referenz!$A$14:$A$21,0),2),""),Übungen!$A$6:$A$28,0)),""))</f>
        <v>Rücken neutral, Dehnung spüren</v>
      </c>
      <c r="G19" s="24" t="str">
        <f aca="false">IF(Start!$C$7&lt;2,"",IFERROR(INDEX(Übungen!$C$6:$C$28,MATCH(IFERROR(INDEX(Referenz!$B$14:$H$21,MATCH($H$16,Referenz!$A$14:$A$21,0),2),""),Übungen!$A$6:$A$28,0))&amp;"",""))</f>
        <v>Gesäß</v>
      </c>
    </row>
    <row r="20" customFormat="false" ht="15" hidden="false" customHeight="false" outlineLevel="0" collapsed="false">
      <c r="A20" s="21" t="str">
        <f aca="false">IF(Start!$C$7&lt;2,"",IFERROR(IF(Start!$C$8="Vollausstattung",IFERROR(INDEX(Referenz!$B$14:$H$21,MATCH($H$16,Referenz!$A$14:$A$21,0),3),""),INDEX(IF(Start!$C$8="Basic Gym",Übungen!$D$6:$D$28,Übungen!$E$6:$E$28),MATCH(IFERROR(INDEX(Referenz!$B$14:$H$21,MATCH($H$16,Referenz!$A$14:$A$21,0),3),""),Übungen!$A$6:$A$28,0))),""))</f>
        <v>Beinpresse</v>
      </c>
      <c r="B20" s="22" t="str">
        <f aca="false">IF(Start!$C$7&lt;2,"",IFERROR(INDEX(Übungen!$B$6:$B$28,MATCH(IFERROR(INDEX(Referenz!$B$14:$H$21,MATCH($H$16,Referenz!$A$14:$A$21,0),3),""),Übungen!$A$6:$A$28,0)),""))</f>
        <v>Quadrizeps</v>
      </c>
      <c r="C20" s="22" t="n">
        <f aca="false">IF(Start!$C$7&lt;2,"",IFERROR(MIN(6,MAX(2,ROUND(INDEX(Übungen!$G$6:$G$28,MATCH(IFERROR(INDEX(Referenz!$B$14:$H$21,MATCH($H$16,Referenz!$A$14:$A$21,0),3),""),Übungen!$A$6:$A$28,0))*IFERROR(INDEX(Referenz!$B$26:$B$28,MATCH(Start!$C$9,Referenz!$A$26:$A$28,0)),1)*IFERROR(INDEX(Referenz!$B$30:$B$33,MATCH(Start!$C$7,Referenz!$A$30:$A$33,0)),1)*Referenz!$B$34,0))),""))</f>
        <v>4</v>
      </c>
      <c r="D20" s="22" t="str">
        <f aca="false">IF(Start!$C$7&lt;2,"",IFERROR(INDEX(Übungen!$F$6:$F$28,MATCH(IFERROR(INDEX(Referenz!$B$14:$H$21,MATCH($H$16,Referenz!$A$14:$A$21,0),3),""),Übungen!$A$6:$A$28,0)),""))</f>
        <v>10 – 15</v>
      </c>
      <c r="E20" s="22" t="str">
        <f aca="false">IF(Start!$C$7&lt;2,"","1 – 3")</f>
        <v>1 – 3</v>
      </c>
      <c r="F20" s="23" t="str">
        <f aca="false">IF(Start!$C$7&lt;2,"",IFERROR(INDEX(Übungen!$H$6:$H$28,MATCH(IFERROR(INDEX(Referenz!$B$14:$H$21,MATCH($H$16,Referenz!$A$14:$A$21,0),3),""),Übungen!$A$6:$A$28,0)),""))</f>
        <v>Knie nicht durchdrücken</v>
      </c>
      <c r="G20" s="24" t="str">
        <f aca="false">IF(Start!$C$7&lt;2,"",IFERROR(INDEX(Übungen!$C$6:$C$28,MATCH(IFERROR(INDEX(Referenz!$B$14:$H$21,MATCH($H$16,Referenz!$A$14:$A$21,0),3),""),Übungen!$A$6:$A$28,0))&amp;"",""))</f>
        <v>Gesäß</v>
      </c>
    </row>
    <row r="21" customFormat="false" ht="15" hidden="false" customHeight="false" outlineLevel="0" collapsed="false">
      <c r="A21" s="21" t="str">
        <f aca="false">IF(Start!$C$7&lt;2,"",IFERROR(IF(Start!$C$8="Vollausstattung",IFERROR(INDEX(Referenz!$B$14:$H$21,MATCH($H$16,Referenz!$A$14:$A$21,0),4),""),INDEX(IF(Start!$C$8="Basic Gym",Übungen!$D$6:$D$28,Übungen!$E$6:$E$28),MATCH(IFERROR(INDEX(Referenz!$B$14:$H$21,MATCH($H$16,Referenz!$A$14:$A$21,0),4),""),Übungen!$A$6:$A$28,0))),""))</f>
        <v>Beinbeuger liegend</v>
      </c>
      <c r="B21" s="22" t="str">
        <f aca="false">IF(Start!$C$7&lt;2,"",IFERROR(INDEX(Übungen!$B$6:$B$28,MATCH(IFERROR(INDEX(Referenz!$B$14:$H$21,MATCH($H$16,Referenz!$A$14:$A$21,0),4),""),Übungen!$A$6:$A$28,0)),""))</f>
        <v>Hamstrings</v>
      </c>
      <c r="C21" s="22" t="n">
        <f aca="false">IF(Start!$C$7&lt;2,"",IFERROR(MIN(6,MAX(2,ROUND(INDEX(Übungen!$G$6:$G$28,MATCH(IFERROR(INDEX(Referenz!$B$14:$H$21,MATCH($H$16,Referenz!$A$14:$A$21,0),4),""),Übungen!$A$6:$A$28,0))*IFERROR(INDEX(Referenz!$B$26:$B$28,MATCH(Start!$C$9,Referenz!$A$26:$A$28,0)),1)*IFERROR(INDEX(Referenz!$B$30:$B$33,MATCH(Start!$C$7,Referenz!$A$30:$A$33,0)),1)*Referenz!$B$34,0))),""))</f>
        <v>4</v>
      </c>
      <c r="D21" s="22" t="str">
        <f aca="false">IF(Start!$C$7&lt;2,"",IFERROR(INDEX(Übungen!$F$6:$F$28,MATCH(IFERROR(INDEX(Referenz!$B$14:$H$21,MATCH($H$16,Referenz!$A$14:$A$21,0),4),""),Übungen!$A$6:$A$28,0)),""))</f>
        <v>10 – 15</v>
      </c>
      <c r="E21" s="22" t="str">
        <f aca="false">IF(Start!$C$7&lt;2,"","1 – 3")</f>
        <v>1 – 3</v>
      </c>
      <c r="F21" s="23" t="str">
        <f aca="false">IF(Start!$C$7&lt;2,"",IFERROR(INDEX(Übungen!$H$6:$H$28,MATCH(IFERROR(INDEX(Referenz!$B$14:$H$21,MATCH($H$16,Referenz!$A$14:$A$21,0),4),""),Übungen!$A$6:$A$28,0)),""))</f>
        <v>Kontrolliert ablassen</v>
      </c>
      <c r="G21" s="24" t="str">
        <f aca="false">IF(Start!$C$7&lt;2,"",IFERROR(INDEX(Übungen!$C$6:$C$28,MATCH(IFERROR(INDEX(Referenz!$B$14:$H$21,MATCH($H$16,Referenz!$A$14:$A$21,0),4),""),Übungen!$A$6:$A$28,0))&amp;"",""))</f>
        <v/>
      </c>
    </row>
    <row r="22" customFormat="false" ht="15" hidden="false" customHeight="false" outlineLevel="0" collapsed="false">
      <c r="A22" s="21" t="str">
        <f aca="false">IF(Start!$C$7&lt;2,"",IFERROR(IF(Start!$C$8="Vollausstattung",IFERROR(INDEX(Referenz!$B$14:$H$21,MATCH($H$16,Referenz!$A$14:$A$21,0),5),""),INDEX(IF(Start!$C$8="Basic Gym",Übungen!$D$6:$D$28,Übungen!$E$6:$E$28),MATCH(IFERROR(INDEX(Referenz!$B$14:$H$21,MATCH($H$16,Referenz!$A$14:$A$21,0),5),""),Übungen!$A$6:$A$28,0))),""))</f>
        <v>Hip Thrust</v>
      </c>
      <c r="B22" s="22" t="str">
        <f aca="false">IF(Start!$C$7&lt;2,"",IFERROR(INDEX(Übungen!$B$6:$B$28,MATCH(IFERROR(INDEX(Referenz!$B$14:$H$21,MATCH($H$16,Referenz!$A$14:$A$21,0),5),""),Übungen!$A$6:$A$28,0)),""))</f>
        <v>Gesäß</v>
      </c>
      <c r="C22" s="22" t="n">
        <f aca="false">IF(Start!$C$7&lt;2,"",IFERROR(MIN(6,MAX(2,ROUND(INDEX(Übungen!$G$6:$G$28,MATCH(IFERROR(INDEX(Referenz!$B$14:$H$21,MATCH($H$16,Referenz!$A$14:$A$21,0),5),""),Übungen!$A$6:$A$28,0))*IFERROR(INDEX(Referenz!$B$26:$B$28,MATCH(Start!$C$9,Referenz!$A$26:$A$28,0)),1)*IFERROR(INDEX(Referenz!$B$30:$B$33,MATCH(Start!$C$7,Referenz!$A$30:$A$33,0)),1)*Referenz!$B$34,0))),""))</f>
        <v>4</v>
      </c>
      <c r="D22" s="22" t="str">
        <f aca="false">IF(Start!$C$7&lt;2,"",IFERROR(INDEX(Übungen!$F$6:$F$28,MATCH(IFERROR(INDEX(Referenz!$B$14:$H$21,MATCH($H$16,Referenz!$A$14:$A$21,0),5),""),Übungen!$A$6:$A$28,0)),""))</f>
        <v>8 – 12</v>
      </c>
      <c r="E22" s="22" t="str">
        <f aca="false">IF(Start!$C$7&lt;2,"","1 – 3")</f>
        <v>1 – 3</v>
      </c>
      <c r="F22" s="23" t="str">
        <f aca="false">IF(Start!$C$7&lt;2,"",IFERROR(INDEX(Übungen!$H$6:$H$28,MATCH(IFERROR(INDEX(Referenz!$B$14:$H$21,MATCH($H$16,Referenz!$A$14:$A$21,0),5),""),Übungen!$A$6:$A$28,0)),""))</f>
        <v>Oben 1 Sekunde halten</v>
      </c>
      <c r="G22" s="24" t="str">
        <f aca="false">IF(Start!$C$7&lt;2,"",IFERROR(INDEX(Übungen!$C$6:$C$28,MATCH(IFERROR(INDEX(Referenz!$B$14:$H$21,MATCH($H$16,Referenz!$A$14:$A$21,0),5),""),Übungen!$A$6:$A$28,0))&amp;"",""))</f>
        <v>Hamstrings</v>
      </c>
    </row>
    <row r="23" customFormat="false" ht="15" hidden="false" customHeight="false" outlineLevel="0" collapsed="false">
      <c r="A23" s="21" t="str">
        <f aca="false">IF(Start!$C$7&lt;2,"",IFERROR(IF(Start!$C$8="Vollausstattung",IFERROR(INDEX(Referenz!$B$14:$H$21,MATCH($H$16,Referenz!$A$14:$A$21,0),6),""),INDEX(IF(Start!$C$8="Basic Gym",Übungen!$D$6:$D$28,Übungen!$E$6:$E$28),MATCH(IFERROR(INDEX(Referenz!$B$14:$H$21,MATCH($H$16,Referenz!$A$14:$A$21,0),6),""),Übungen!$A$6:$A$28,0))),""))</f>
        <v>Wadenheben stehend</v>
      </c>
      <c r="B23" s="22" t="str">
        <f aca="false">IF(Start!$C$7&lt;2,"",IFERROR(INDEX(Übungen!$B$6:$B$28,MATCH(IFERROR(INDEX(Referenz!$B$14:$H$21,MATCH($H$16,Referenz!$A$14:$A$21,0),6),""),Übungen!$A$6:$A$28,0)),""))</f>
        <v>Waden</v>
      </c>
      <c r="C23" s="22" t="n">
        <f aca="false">IF(Start!$C$7&lt;2,"",IFERROR(MIN(6,MAX(2,ROUND(INDEX(Übungen!$G$6:$G$28,MATCH(IFERROR(INDEX(Referenz!$B$14:$H$21,MATCH($H$16,Referenz!$A$14:$A$21,0),6),""),Übungen!$A$6:$A$28,0))*IFERROR(INDEX(Referenz!$B$26:$B$28,MATCH(Start!$C$9,Referenz!$A$26:$A$28,0)),1)*IFERROR(INDEX(Referenz!$B$30:$B$33,MATCH(Start!$C$7,Referenz!$A$30:$A$33,0)),1)*Referenz!$B$34,0))),""))</f>
        <v>4</v>
      </c>
      <c r="D23" s="22" t="str">
        <f aca="false">IF(Start!$C$7&lt;2,"",IFERROR(INDEX(Übungen!$F$6:$F$28,MATCH(IFERROR(INDEX(Referenz!$B$14:$H$21,MATCH($H$16,Referenz!$A$14:$A$21,0),6),""),Übungen!$A$6:$A$28,0)),""))</f>
        <v>12 – 20</v>
      </c>
      <c r="E23" s="22" t="str">
        <f aca="false">IF(Start!$C$7&lt;2,"","1 – 3")</f>
        <v>1 – 3</v>
      </c>
      <c r="F23" s="23" t="str">
        <f aca="false">IF(Start!$C$7&lt;2,"",IFERROR(INDEX(Übungen!$H$6:$H$28,MATCH(IFERROR(INDEX(Referenz!$B$14:$H$21,MATCH($H$16,Referenz!$A$14:$A$21,0),6),""),Übungen!$A$6:$A$28,0)),""))</f>
        <v>Volle Dehnung unten</v>
      </c>
      <c r="G23" s="24" t="str">
        <f aca="false">IF(Start!$C$7&lt;2,"",IFERROR(INDEX(Übungen!$C$6:$C$28,MATCH(IFERROR(INDEX(Referenz!$B$14:$H$21,MATCH($H$16,Referenz!$A$14:$A$21,0),6),""),Übungen!$A$6:$A$28,0))&amp;"",""))</f>
        <v/>
      </c>
    </row>
    <row r="24" customFormat="false" ht="15" hidden="false" customHeight="false" outlineLevel="0" collapsed="false">
      <c r="A24" s="21" t="str">
        <f aca="false">IF(Start!$C$7&lt;2,"",IFERROR(IF(Start!$C$8="Vollausstattung",IFERROR(INDEX(Referenz!$B$14:$H$21,MATCH($H$16,Referenz!$A$14:$A$21,0),7),""),INDEX(IF(Start!$C$8="Basic Gym",Übungen!$D$6:$D$28,Übungen!$E$6:$E$28),MATCH(IFERROR(INDEX(Referenz!$B$14:$H$21,MATCH($H$16,Referenz!$A$14:$A$21,0),7),""),Übungen!$A$6:$A$28,0))),""))</f>
        <v>Bauchmaschine / Kabel-Crunch</v>
      </c>
      <c r="B24" s="22" t="str">
        <f aca="false">IF(Start!$C$7&lt;2,"",IFERROR(INDEX(Übungen!$B$6:$B$28,MATCH(IFERROR(INDEX(Referenz!$B$14:$H$21,MATCH($H$16,Referenz!$A$14:$A$21,0),7),""),Übungen!$A$6:$A$28,0)),""))</f>
        <v>Rumpf</v>
      </c>
      <c r="C24" s="22" t="n">
        <f aca="false">IF(Start!$C$7&lt;2,"",IFERROR(MIN(6,MAX(2,ROUND(INDEX(Übungen!$G$6:$G$28,MATCH(IFERROR(INDEX(Referenz!$B$14:$H$21,MATCH($H$16,Referenz!$A$14:$A$21,0),7),""),Übungen!$A$6:$A$28,0))*IFERROR(INDEX(Referenz!$B$26:$B$28,MATCH(Start!$C$9,Referenz!$A$26:$A$28,0)),1)*IFERROR(INDEX(Referenz!$B$30:$B$33,MATCH(Start!$C$7,Referenz!$A$30:$A$33,0)),1)*Referenz!$B$34,0))),""))</f>
        <v>4</v>
      </c>
      <c r="D24" s="22" t="str">
        <f aca="false">IF(Start!$C$7&lt;2,"",IFERROR(INDEX(Übungen!$F$6:$F$28,MATCH(IFERROR(INDEX(Referenz!$B$14:$H$21,MATCH($H$16,Referenz!$A$14:$A$21,0),7),""),Übungen!$A$6:$A$28,0)),""))</f>
        <v>12 – 20</v>
      </c>
      <c r="E24" s="22" t="str">
        <f aca="false">IF(Start!$C$7&lt;2,"","1 – 3")</f>
        <v>1 – 3</v>
      </c>
      <c r="F24" s="23" t="str">
        <f aca="false">IF(Start!$C$7&lt;2,"",IFERROR(INDEX(Übungen!$H$6:$H$28,MATCH(IFERROR(INDEX(Referenz!$B$14:$H$21,MATCH($H$16,Referenz!$A$14:$A$21,0),7),""),Übungen!$A$6:$A$28,0)),""))</f>
        <v>Bewegung aus dem Bauch, nicht aus dem Nacken</v>
      </c>
      <c r="G24" s="24" t="str">
        <f aca="false">IF(Start!$C$7&lt;2,"",IFERROR(INDEX(Übungen!$C$6:$C$28,MATCH(IFERROR(INDEX(Referenz!$B$14:$H$21,MATCH($H$16,Referenz!$A$14:$A$21,0),7),""),Übungen!$A$6:$A$28,0))&amp;"",""))</f>
        <v/>
      </c>
    </row>
    <row r="26" customFormat="false" ht="19.5" hidden="false" customHeight="true" outlineLevel="0" collapsed="false">
      <c r="A26" s="17" t="str">
        <f aca="false">IF(Start!$C$7&gt;=3,"EINHEIT 3  ·  "&amp;H26,"")</f>
        <v>EINHEIT 3  ·  Oberkörper</v>
      </c>
      <c r="B26" s="2"/>
      <c r="C26" s="2"/>
      <c r="D26" s="2"/>
      <c r="E26" s="2"/>
      <c r="F26" s="2"/>
      <c r="H26" s="18" t="str">
        <f aca="false">IF(Start!$C$7&gt;=3,IFERROR(INDEX(Referenz!$B$6:$G$9,MATCH(Start!$C$7,Referenz!$A$6:$A$9,0),3),""),"")</f>
        <v>Oberkörper</v>
      </c>
    </row>
    <row r="27" customFormat="false" ht="15" hidden="false" customHeight="false" outlineLevel="0" collapsed="false">
      <c r="A27" s="19" t="str">
        <f aca="false">IF(Start!$C$7&gt;=3,"Übung","")</f>
        <v>Übung</v>
      </c>
      <c r="B27" s="19" t="str">
        <f aca="false">IF(Start!$C$7&gt;=3,"Muskelgruppe","")</f>
        <v>Muskelgruppe</v>
      </c>
      <c r="C27" s="19" t="str">
        <f aca="false">IF(Start!$C$7&gt;=3,"Sätze","")</f>
        <v>Sätze</v>
      </c>
      <c r="D27" s="19" t="str">
        <f aca="false">IF(Start!$C$7&gt;=3,"Wdh","")</f>
        <v>Wdh</v>
      </c>
      <c r="E27" s="19" t="str">
        <f aca="false">IF(Start!$C$7&gt;=3,"RIR","")</f>
        <v>RIR</v>
      </c>
      <c r="F27" s="19" t="str">
        <f aca="false">IF(Start!$C$7&gt;=3,"Hinweis","")</f>
        <v>Hinweis</v>
      </c>
      <c r="G27" s="20" t="str">
        <f aca="false">IF(Start!$C$7&gt;=3,"Sekundär","")</f>
        <v>Sekundär</v>
      </c>
    </row>
    <row r="28" customFormat="false" ht="15" hidden="false" customHeight="false" outlineLevel="0" collapsed="false">
      <c r="A28" s="21" t="str">
        <f aca="false">IF(Start!$C$7&lt;3,"",IFERROR(IF(Start!$C$8="Vollausstattung",IFERROR(INDEX(Referenz!$B$14:$H$21,MATCH($H$26,Referenz!$A$14:$A$21,0),1),""),INDEX(IF(Start!$C$8="Basic Gym",Übungen!$D$6:$D$28,Übungen!$E$6:$E$28),MATCH(IFERROR(INDEX(Referenz!$B$14:$H$21,MATCH($H$26,Referenz!$A$14:$A$21,0),1),""),Übungen!$A$6:$A$28,0))),""))</f>
        <v>Bankdrücken Langhantel</v>
      </c>
      <c r="B28" s="22" t="str">
        <f aca="false">IF(Start!$C$7&lt;3,"",IFERROR(INDEX(Übungen!$B$6:$B$28,MATCH(IFERROR(INDEX(Referenz!$B$14:$H$21,MATCH($H$26,Referenz!$A$14:$A$21,0),1),""),Übungen!$A$6:$A$28,0)),""))</f>
        <v>Brust</v>
      </c>
      <c r="C28" s="22" t="n">
        <f aca="false">IF(Start!$C$7&lt;3,"",IFERROR(MIN(6,MAX(2,ROUND(INDEX(Übungen!$G$6:$G$28,MATCH(IFERROR(INDEX(Referenz!$B$14:$H$21,MATCH($H$26,Referenz!$A$14:$A$21,0),1),""),Übungen!$A$6:$A$28,0))*IFERROR(INDEX(Referenz!$B$26:$B$28,MATCH(Start!$C$9,Referenz!$A$26:$A$28,0)),1)*IFERROR(INDEX(Referenz!$B$30:$B$33,MATCH(Start!$C$7,Referenz!$A$30:$A$33,0)),1)*Referenz!$B$34,0))),""))</f>
        <v>4</v>
      </c>
      <c r="D28" s="22" t="str">
        <f aca="false">IF(Start!$C$7&lt;3,"",IFERROR(INDEX(Übungen!$F$6:$F$28,MATCH(IFERROR(INDEX(Referenz!$B$14:$H$21,MATCH($H$26,Referenz!$A$14:$A$21,0),1),""),Übungen!$A$6:$A$28,0)),""))</f>
        <v>5 – 8</v>
      </c>
      <c r="E28" s="22" t="str">
        <f aca="false">IF(Start!$C$7&lt;3,"","1 – 3")</f>
        <v>1 – 3</v>
      </c>
      <c r="F28" s="23" t="str">
        <f aca="false">IF(Start!$C$7&lt;3,"",IFERROR(INDEX(Übungen!$H$6:$H$28,MATCH(IFERROR(INDEX(Referenz!$B$14:$H$21,MATCH($H$26,Referenz!$A$14:$A$21,0),1),""),Übungen!$A$6:$A$28,0)),""))</f>
        <v>Schulterblätter fixieren, Ellbogen ca. 45°</v>
      </c>
      <c r="G28" s="24" t="str">
        <f aca="false">IF(Start!$C$7&lt;3,"",IFERROR(INDEX(Übungen!$C$6:$C$28,MATCH(IFERROR(INDEX(Referenz!$B$14:$H$21,MATCH($H$26,Referenz!$A$14:$A$21,0),1),""),Übungen!$A$6:$A$28,0))&amp;"",""))</f>
        <v>Trizeps</v>
      </c>
    </row>
    <row r="29" customFormat="false" ht="15" hidden="false" customHeight="false" outlineLevel="0" collapsed="false">
      <c r="A29" s="21" t="str">
        <f aca="false">IF(Start!$C$7&lt;3,"",IFERROR(IF(Start!$C$8="Vollausstattung",IFERROR(INDEX(Referenz!$B$14:$H$21,MATCH($H$26,Referenz!$A$14:$A$21,0),2),""),INDEX(IF(Start!$C$8="Basic Gym",Übungen!$D$6:$D$28,Übungen!$E$6:$E$28),MATCH(IFERROR(INDEX(Referenz!$B$14:$H$21,MATCH($H$26,Referenz!$A$14:$A$21,0),2),""),Übungen!$A$6:$A$28,0))),""))</f>
        <v>Schrägbankdrücken Kurzhantel</v>
      </c>
      <c r="B29" s="22" t="str">
        <f aca="false">IF(Start!$C$7&lt;3,"",IFERROR(INDEX(Übungen!$B$6:$B$28,MATCH(IFERROR(INDEX(Referenz!$B$14:$H$21,MATCH($H$26,Referenz!$A$14:$A$21,0),2),""),Übungen!$A$6:$A$28,0)),""))</f>
        <v>Brust</v>
      </c>
      <c r="C29" s="22" t="n">
        <f aca="false">IF(Start!$C$7&lt;3,"",IFERROR(MIN(6,MAX(2,ROUND(INDEX(Übungen!$G$6:$G$28,MATCH(IFERROR(INDEX(Referenz!$B$14:$H$21,MATCH($H$26,Referenz!$A$14:$A$21,0),2),""),Übungen!$A$6:$A$28,0))*IFERROR(INDEX(Referenz!$B$26:$B$28,MATCH(Start!$C$9,Referenz!$A$26:$A$28,0)),1)*IFERROR(INDEX(Referenz!$B$30:$B$33,MATCH(Start!$C$7,Referenz!$A$30:$A$33,0)),1)*Referenz!$B$34,0))),""))</f>
        <v>4</v>
      </c>
      <c r="D29" s="22" t="str">
        <f aca="false">IF(Start!$C$7&lt;3,"",IFERROR(INDEX(Übungen!$F$6:$F$28,MATCH(IFERROR(INDEX(Referenz!$B$14:$H$21,MATCH($H$26,Referenz!$A$14:$A$21,0),2),""),Übungen!$A$6:$A$28,0)),""))</f>
        <v>8 – 12</v>
      </c>
      <c r="E29" s="22" t="str">
        <f aca="false">IF(Start!$C$7&lt;3,"","1 – 3")</f>
        <v>1 – 3</v>
      </c>
      <c r="F29" s="23" t="str">
        <f aca="false">IF(Start!$C$7&lt;3,"",IFERROR(INDEX(Übungen!$H$6:$H$28,MATCH(IFERROR(INDEX(Referenz!$B$14:$H$21,MATCH($H$26,Referenz!$A$14:$A$21,0),2),""),Übungen!$A$6:$A$28,0)),""))</f>
        <v>Bank auf 30°, nicht steiler</v>
      </c>
      <c r="G29" s="24" t="str">
        <f aca="false">IF(Start!$C$7&lt;3,"",IFERROR(INDEX(Übungen!$C$6:$C$28,MATCH(IFERROR(INDEX(Referenz!$B$14:$H$21,MATCH($H$26,Referenz!$A$14:$A$21,0),2),""),Übungen!$A$6:$A$28,0))&amp;"",""))</f>
        <v>Trizeps</v>
      </c>
    </row>
    <row r="30" customFormat="false" ht="15" hidden="false" customHeight="false" outlineLevel="0" collapsed="false">
      <c r="A30" s="21" t="str">
        <f aca="false">IF(Start!$C$7&lt;3,"",IFERROR(IF(Start!$C$8="Vollausstattung",IFERROR(INDEX(Referenz!$B$14:$H$21,MATCH($H$26,Referenz!$A$14:$A$21,0),3),""),INDEX(IF(Start!$C$8="Basic Gym",Übungen!$D$6:$D$28,Übungen!$E$6:$E$28),MATCH(IFERROR(INDEX(Referenz!$B$14:$H$21,MATCH($H$26,Referenz!$A$14:$A$21,0),3),""),Übungen!$A$6:$A$28,0))),""))</f>
        <v>Langhantelrudern</v>
      </c>
      <c r="B30" s="22" t="str">
        <f aca="false">IF(Start!$C$7&lt;3,"",IFERROR(INDEX(Übungen!$B$6:$B$28,MATCH(IFERROR(INDEX(Referenz!$B$14:$H$21,MATCH($H$26,Referenz!$A$14:$A$21,0),3),""),Übungen!$A$6:$A$28,0)),""))</f>
        <v>Rücken</v>
      </c>
      <c r="C30" s="22" t="n">
        <f aca="false">IF(Start!$C$7&lt;3,"",IFERROR(MIN(6,MAX(2,ROUND(INDEX(Übungen!$G$6:$G$28,MATCH(IFERROR(INDEX(Referenz!$B$14:$H$21,MATCH($H$26,Referenz!$A$14:$A$21,0),3),""),Übungen!$A$6:$A$28,0))*IFERROR(INDEX(Referenz!$B$26:$B$28,MATCH(Start!$C$9,Referenz!$A$26:$A$28,0)),1)*IFERROR(INDEX(Referenz!$B$30:$B$33,MATCH(Start!$C$7,Referenz!$A$30:$A$33,0)),1)*Referenz!$B$34,0))),""))</f>
        <v>4</v>
      </c>
      <c r="D30" s="22" t="str">
        <f aca="false">IF(Start!$C$7&lt;3,"",IFERROR(INDEX(Übungen!$F$6:$F$28,MATCH(IFERROR(INDEX(Referenz!$B$14:$H$21,MATCH($H$26,Referenz!$A$14:$A$21,0),3),""),Übungen!$A$6:$A$28,0)),""))</f>
        <v>6 – 10</v>
      </c>
      <c r="E30" s="22" t="str">
        <f aca="false">IF(Start!$C$7&lt;3,"","1 – 3")</f>
        <v>1 – 3</v>
      </c>
      <c r="F30" s="23" t="str">
        <f aca="false">IF(Start!$C$7&lt;3,"",IFERROR(INDEX(Übungen!$H$6:$H$28,MATCH(IFERROR(INDEX(Referenz!$B$14:$H$21,MATCH($H$26,Referenz!$A$14:$A$21,0),3),""),Übungen!$A$6:$A$28,0)),""))</f>
        <v>Rücken neutral, zum unteren Brustkorb ziehen</v>
      </c>
      <c r="G30" s="24" t="str">
        <f aca="false">IF(Start!$C$7&lt;3,"",IFERROR(INDEX(Übungen!$C$6:$C$28,MATCH(IFERROR(INDEX(Referenz!$B$14:$H$21,MATCH($H$26,Referenz!$A$14:$A$21,0),3),""),Übungen!$A$6:$A$28,0))&amp;"",""))</f>
        <v>Bizeps</v>
      </c>
    </row>
    <row r="31" customFormat="false" ht="15" hidden="false" customHeight="false" outlineLevel="0" collapsed="false">
      <c r="A31" s="21" t="str">
        <f aca="false">IF(Start!$C$7&lt;3,"",IFERROR(IF(Start!$C$8="Vollausstattung",IFERROR(INDEX(Referenz!$B$14:$H$21,MATCH($H$26,Referenz!$A$14:$A$21,0),4),""),INDEX(IF(Start!$C$8="Basic Gym",Übungen!$D$6:$D$28,Übungen!$E$6:$E$28),MATCH(IFERROR(INDEX(Referenz!$B$14:$H$21,MATCH($H$26,Referenz!$A$14:$A$21,0),4),""),Übungen!$A$6:$A$28,0))),""))</f>
        <v>Latzug eng</v>
      </c>
      <c r="B31" s="22" t="str">
        <f aca="false">IF(Start!$C$7&lt;3,"",IFERROR(INDEX(Übungen!$B$6:$B$28,MATCH(IFERROR(INDEX(Referenz!$B$14:$H$21,MATCH($H$26,Referenz!$A$14:$A$21,0),4),""),Übungen!$A$6:$A$28,0)),""))</f>
        <v>Rücken</v>
      </c>
      <c r="C31" s="22" t="n">
        <f aca="false">IF(Start!$C$7&lt;3,"",IFERROR(MIN(6,MAX(2,ROUND(INDEX(Übungen!$G$6:$G$28,MATCH(IFERROR(INDEX(Referenz!$B$14:$H$21,MATCH($H$26,Referenz!$A$14:$A$21,0),4),""),Übungen!$A$6:$A$28,0))*IFERROR(INDEX(Referenz!$B$26:$B$28,MATCH(Start!$C$9,Referenz!$A$26:$A$28,0)),1)*IFERROR(INDEX(Referenz!$B$30:$B$33,MATCH(Start!$C$7,Referenz!$A$30:$A$33,0)),1)*Referenz!$B$34,0))),""))</f>
        <v>4</v>
      </c>
      <c r="D31" s="22" t="str">
        <f aca="false">IF(Start!$C$7&lt;3,"",IFERROR(INDEX(Übungen!$F$6:$F$28,MATCH(IFERROR(INDEX(Referenz!$B$14:$H$21,MATCH($H$26,Referenz!$A$14:$A$21,0),4),""),Übungen!$A$6:$A$28,0)),""))</f>
        <v>8 – 12</v>
      </c>
      <c r="E31" s="22" t="str">
        <f aca="false">IF(Start!$C$7&lt;3,"","1 – 3")</f>
        <v>1 – 3</v>
      </c>
      <c r="F31" s="23" t="str">
        <f aca="false">IF(Start!$C$7&lt;3,"",IFERROR(INDEX(Übungen!$H$6:$H$28,MATCH(IFERROR(INDEX(Referenz!$B$14:$H$21,MATCH($H$26,Referenz!$A$14:$A$21,0),4),""),Übungen!$A$6:$A$28,0)),""))</f>
        <v>Brust raus, Ellbogen nach unten führen</v>
      </c>
      <c r="G31" s="24" t="str">
        <f aca="false">IF(Start!$C$7&lt;3,"",IFERROR(INDEX(Übungen!$C$6:$C$28,MATCH(IFERROR(INDEX(Referenz!$B$14:$H$21,MATCH($H$26,Referenz!$A$14:$A$21,0),4),""),Übungen!$A$6:$A$28,0))&amp;"",""))</f>
        <v>Bizeps</v>
      </c>
    </row>
    <row r="32" customFormat="false" ht="15" hidden="false" customHeight="false" outlineLevel="0" collapsed="false">
      <c r="A32" s="21" t="str">
        <f aca="false">IF(Start!$C$7&lt;3,"",IFERROR(IF(Start!$C$8="Vollausstattung",IFERROR(INDEX(Referenz!$B$14:$H$21,MATCH($H$26,Referenz!$A$14:$A$21,0),5),""),INDEX(IF(Start!$C$8="Basic Gym",Übungen!$D$6:$D$28,Übungen!$E$6:$E$28),MATCH(IFERROR(INDEX(Referenz!$B$14:$H$21,MATCH($H$26,Referenz!$A$14:$A$21,0),5),""),Übungen!$A$6:$A$28,0))),""))</f>
        <v>Seitheben</v>
      </c>
      <c r="B32" s="22" t="str">
        <f aca="false">IF(Start!$C$7&lt;3,"",IFERROR(INDEX(Übungen!$B$6:$B$28,MATCH(IFERROR(INDEX(Referenz!$B$14:$H$21,MATCH($H$26,Referenz!$A$14:$A$21,0),5),""),Übungen!$A$6:$A$28,0)),""))</f>
        <v>Schultern</v>
      </c>
      <c r="C32" s="22" t="n">
        <f aca="false">IF(Start!$C$7&lt;3,"",IFERROR(MIN(6,MAX(2,ROUND(INDEX(Übungen!$G$6:$G$28,MATCH(IFERROR(INDEX(Referenz!$B$14:$H$21,MATCH($H$26,Referenz!$A$14:$A$21,0),5),""),Übungen!$A$6:$A$28,0))*IFERROR(INDEX(Referenz!$B$26:$B$28,MATCH(Start!$C$9,Referenz!$A$26:$A$28,0)),1)*IFERROR(INDEX(Referenz!$B$30:$B$33,MATCH(Start!$C$7,Referenz!$A$30:$A$33,0)),1)*Referenz!$B$34,0))),""))</f>
        <v>4</v>
      </c>
      <c r="D32" s="22" t="str">
        <f aca="false">IF(Start!$C$7&lt;3,"",IFERROR(INDEX(Übungen!$F$6:$F$28,MATCH(IFERROR(INDEX(Referenz!$B$14:$H$21,MATCH($H$26,Referenz!$A$14:$A$21,0),5),""),Übungen!$A$6:$A$28,0)),""))</f>
        <v>12 – 20</v>
      </c>
      <c r="E32" s="22" t="str">
        <f aca="false">IF(Start!$C$7&lt;3,"","1 – 3")</f>
        <v>1 – 3</v>
      </c>
      <c r="F32" s="23" t="str">
        <f aca="false">IF(Start!$C$7&lt;3,"",IFERROR(INDEX(Übungen!$H$6:$H$28,MATCH(IFERROR(INDEX(Referenz!$B$14:$H$21,MATCH($H$26,Referenz!$A$14:$A$21,0),5),""),Übungen!$A$6:$A$28,0)),""))</f>
        <v>Leichtes Gewicht, saubere Führung</v>
      </c>
      <c r="G32" s="24" t="str">
        <f aca="false">IF(Start!$C$7&lt;3,"",IFERROR(INDEX(Übungen!$C$6:$C$28,MATCH(IFERROR(INDEX(Referenz!$B$14:$H$21,MATCH($H$26,Referenz!$A$14:$A$21,0),5),""),Übungen!$A$6:$A$28,0))&amp;"",""))</f>
        <v/>
      </c>
    </row>
    <row r="33" customFormat="false" ht="15" hidden="false" customHeight="false" outlineLevel="0" collapsed="false">
      <c r="A33" s="21" t="str">
        <f aca="false">IF(Start!$C$7&lt;3,"",IFERROR(IF(Start!$C$8="Vollausstattung",IFERROR(INDEX(Referenz!$B$14:$H$21,MATCH($H$26,Referenz!$A$14:$A$21,0),6),""),INDEX(IF(Start!$C$8="Basic Gym",Übungen!$D$6:$D$28,Übungen!$E$6:$E$28),MATCH(IFERROR(INDEX(Referenz!$B$14:$H$21,MATCH($H$26,Referenz!$A$14:$A$21,0),6),""),Übungen!$A$6:$A$28,0))),""))</f>
        <v>Bizepscurls Langhantel</v>
      </c>
      <c r="B33" s="22" t="str">
        <f aca="false">IF(Start!$C$7&lt;3,"",IFERROR(INDEX(Übungen!$B$6:$B$28,MATCH(IFERROR(INDEX(Referenz!$B$14:$H$21,MATCH($H$26,Referenz!$A$14:$A$21,0),6),""),Übungen!$A$6:$A$28,0)),""))</f>
        <v>Bizeps</v>
      </c>
      <c r="C33" s="22" t="n">
        <f aca="false">IF(Start!$C$7&lt;3,"",IFERROR(MIN(6,MAX(2,ROUND(INDEX(Übungen!$G$6:$G$28,MATCH(IFERROR(INDEX(Referenz!$B$14:$H$21,MATCH($H$26,Referenz!$A$14:$A$21,0),6),""),Übungen!$A$6:$A$28,0))*IFERROR(INDEX(Referenz!$B$26:$B$28,MATCH(Start!$C$9,Referenz!$A$26:$A$28,0)),1)*IFERROR(INDEX(Referenz!$B$30:$B$33,MATCH(Start!$C$7,Referenz!$A$30:$A$33,0)),1)*Referenz!$B$34,0))),""))</f>
        <v>4</v>
      </c>
      <c r="D33" s="22" t="str">
        <f aca="false">IF(Start!$C$7&lt;3,"",IFERROR(INDEX(Übungen!$F$6:$F$28,MATCH(IFERROR(INDEX(Referenz!$B$14:$H$21,MATCH($H$26,Referenz!$A$14:$A$21,0),6),""),Übungen!$A$6:$A$28,0)),""))</f>
        <v>8 – 12</v>
      </c>
      <c r="E33" s="22" t="str">
        <f aca="false">IF(Start!$C$7&lt;3,"","1 – 3")</f>
        <v>1 – 3</v>
      </c>
      <c r="F33" s="23" t="str">
        <f aca="false">IF(Start!$C$7&lt;3,"",IFERROR(INDEX(Übungen!$H$6:$H$28,MATCH(IFERROR(INDEX(Referenz!$B$14:$H$21,MATCH($H$26,Referenz!$A$14:$A$21,0),6),""),Übungen!$A$6:$A$28,0)),""))</f>
        <v>Ellbogen am Körper</v>
      </c>
      <c r="G33" s="24" t="str">
        <f aca="false">IF(Start!$C$7&lt;3,"",IFERROR(INDEX(Übungen!$C$6:$C$28,MATCH(IFERROR(INDEX(Referenz!$B$14:$H$21,MATCH($H$26,Referenz!$A$14:$A$21,0),6),""),Übungen!$A$6:$A$28,0))&amp;"",""))</f>
        <v/>
      </c>
    </row>
    <row r="34" customFormat="false" ht="15" hidden="false" customHeight="false" outlineLevel="0" collapsed="false">
      <c r="A34" s="21" t="str">
        <f aca="false">IF(Start!$C$7&lt;3,"",IFERROR(IF(Start!$C$8="Vollausstattung",IFERROR(INDEX(Referenz!$B$14:$H$21,MATCH($H$26,Referenz!$A$14:$A$21,0),7),""),INDEX(IF(Start!$C$8="Basic Gym",Übungen!$D$6:$D$28,Übungen!$E$6:$E$28),MATCH(IFERROR(INDEX(Referenz!$B$14:$H$21,MATCH($H$26,Referenz!$A$14:$A$21,0),7),""),Übungen!$A$6:$A$28,0))),""))</f>
        <v>Trizepsdrücken Kabel</v>
      </c>
      <c r="B34" s="22" t="str">
        <f aca="false">IF(Start!$C$7&lt;3,"",IFERROR(INDEX(Übungen!$B$6:$B$28,MATCH(IFERROR(INDEX(Referenz!$B$14:$H$21,MATCH($H$26,Referenz!$A$14:$A$21,0),7),""),Übungen!$A$6:$A$28,0)),""))</f>
        <v>Trizeps</v>
      </c>
      <c r="C34" s="22" t="n">
        <f aca="false">IF(Start!$C$7&lt;3,"",IFERROR(MIN(6,MAX(2,ROUND(INDEX(Übungen!$G$6:$G$28,MATCH(IFERROR(INDEX(Referenz!$B$14:$H$21,MATCH($H$26,Referenz!$A$14:$A$21,0),7),""),Übungen!$A$6:$A$28,0))*IFERROR(INDEX(Referenz!$B$26:$B$28,MATCH(Start!$C$9,Referenz!$A$26:$A$28,0)),1)*IFERROR(INDEX(Referenz!$B$30:$B$33,MATCH(Start!$C$7,Referenz!$A$30:$A$33,0)),1)*Referenz!$B$34,0))),""))</f>
        <v>4</v>
      </c>
      <c r="D34" s="22" t="str">
        <f aca="false">IF(Start!$C$7&lt;3,"",IFERROR(INDEX(Übungen!$F$6:$F$28,MATCH(IFERROR(INDEX(Referenz!$B$14:$H$21,MATCH($H$26,Referenz!$A$14:$A$21,0),7),""),Übungen!$A$6:$A$28,0)),""))</f>
        <v>10 – 15</v>
      </c>
      <c r="E34" s="22" t="str">
        <f aca="false">IF(Start!$C$7&lt;3,"","1 – 3")</f>
        <v>1 – 3</v>
      </c>
      <c r="F34" s="23" t="str">
        <f aca="false">IF(Start!$C$7&lt;3,"",IFERROR(INDEX(Übungen!$H$6:$H$28,MATCH(IFERROR(INDEX(Referenz!$B$14:$H$21,MATCH($H$26,Referenz!$A$14:$A$21,0),7),""),Übungen!$A$6:$A$28,0)),""))</f>
        <v>Oberarm fixieren</v>
      </c>
      <c r="G34" s="24" t="str">
        <f aca="false">IF(Start!$C$7&lt;3,"",IFERROR(INDEX(Übungen!$C$6:$C$28,MATCH(IFERROR(INDEX(Referenz!$B$14:$H$21,MATCH($H$26,Referenz!$A$14:$A$21,0),7),""),Übungen!$A$6:$A$28,0))&amp;"",""))</f>
        <v/>
      </c>
    </row>
    <row r="36" customFormat="false" ht="19.5" hidden="false" customHeight="true" outlineLevel="0" collapsed="false">
      <c r="A36" s="17" t="str">
        <f aca="false">IF(Start!$C$7&gt;=4,"EINHEIT 4  ·  "&amp;H36,"")</f>
        <v>EINHEIT 4  ·  Unterkörper</v>
      </c>
      <c r="B36" s="2"/>
      <c r="C36" s="2"/>
      <c r="D36" s="2"/>
      <c r="E36" s="2"/>
      <c r="F36" s="2"/>
      <c r="H36" s="18" t="str">
        <f aca="false">IF(Start!$C$7&gt;=4,IFERROR(INDEX(Referenz!$B$6:$G$9,MATCH(Start!$C$7,Referenz!$A$6:$A$9,0),4),""),"")</f>
        <v>Unterkörper</v>
      </c>
    </row>
    <row r="37" customFormat="false" ht="15" hidden="false" customHeight="false" outlineLevel="0" collapsed="false">
      <c r="A37" s="19" t="str">
        <f aca="false">IF(Start!$C$7&gt;=4,"Übung","")</f>
        <v>Übung</v>
      </c>
      <c r="B37" s="19" t="str">
        <f aca="false">IF(Start!$C$7&gt;=4,"Muskelgruppe","")</f>
        <v>Muskelgruppe</v>
      </c>
      <c r="C37" s="19" t="str">
        <f aca="false">IF(Start!$C$7&gt;=4,"Sätze","")</f>
        <v>Sätze</v>
      </c>
      <c r="D37" s="19" t="str">
        <f aca="false">IF(Start!$C$7&gt;=4,"Wdh","")</f>
        <v>Wdh</v>
      </c>
      <c r="E37" s="19" t="str">
        <f aca="false">IF(Start!$C$7&gt;=4,"RIR","")</f>
        <v>RIR</v>
      </c>
      <c r="F37" s="19" t="str">
        <f aca="false">IF(Start!$C$7&gt;=4,"Hinweis","")</f>
        <v>Hinweis</v>
      </c>
      <c r="G37" s="20" t="str">
        <f aca="false">IF(Start!$C$7&gt;=4,"Sekundär","")</f>
        <v>Sekundär</v>
      </c>
    </row>
    <row r="38" customFormat="false" ht="15" hidden="false" customHeight="false" outlineLevel="0" collapsed="false">
      <c r="A38" s="21" t="str">
        <f aca="false">IF(Start!$C$7&lt;4,"",IFERROR(IF(Start!$C$8="Vollausstattung",IFERROR(INDEX(Referenz!$B$14:$H$21,MATCH($H$36,Referenz!$A$14:$A$21,0),1),""),INDEX(IF(Start!$C$8="Basic Gym",Übungen!$D$6:$D$28,Übungen!$E$6:$E$28),MATCH(IFERROR(INDEX(Referenz!$B$14:$H$21,MATCH($H$36,Referenz!$A$14:$A$21,0),1),""),Übungen!$A$6:$A$28,0))),""))</f>
        <v>Kniebeugen</v>
      </c>
      <c r="B38" s="22" t="str">
        <f aca="false">IF(Start!$C$7&lt;4,"",IFERROR(INDEX(Übungen!$B$6:$B$28,MATCH(IFERROR(INDEX(Referenz!$B$14:$H$21,MATCH($H$36,Referenz!$A$14:$A$21,0),1),""),Übungen!$A$6:$A$28,0)),""))</f>
        <v>Quadrizeps</v>
      </c>
      <c r="C38" s="22" t="n">
        <f aca="false">IF(Start!$C$7&lt;4,"",IFERROR(MIN(6,MAX(2,ROUND(INDEX(Übungen!$G$6:$G$28,MATCH(IFERROR(INDEX(Referenz!$B$14:$H$21,MATCH($H$36,Referenz!$A$14:$A$21,0),1),""),Übungen!$A$6:$A$28,0))*IFERROR(INDEX(Referenz!$B$26:$B$28,MATCH(Start!$C$9,Referenz!$A$26:$A$28,0)),1)*IFERROR(INDEX(Referenz!$B$30:$B$33,MATCH(Start!$C$7,Referenz!$A$30:$A$33,0)),1)*Referenz!$B$34,0))),""))</f>
        <v>4</v>
      </c>
      <c r="D38" s="22" t="str">
        <f aca="false">IF(Start!$C$7&lt;4,"",IFERROR(INDEX(Übungen!$F$6:$F$28,MATCH(IFERROR(INDEX(Referenz!$B$14:$H$21,MATCH($H$36,Referenz!$A$14:$A$21,0),1),""),Übungen!$A$6:$A$28,0)),""))</f>
        <v>5 – 8</v>
      </c>
      <c r="E38" s="22" t="str">
        <f aca="false">IF(Start!$C$7&lt;4,"","1 – 3")</f>
        <v>1 – 3</v>
      </c>
      <c r="F38" s="23" t="str">
        <f aca="false">IF(Start!$C$7&lt;4,"",IFERROR(INDEX(Übungen!$H$6:$H$28,MATCH(IFERROR(INDEX(Referenz!$B$14:$H$21,MATCH($H$36,Referenz!$A$14:$A$21,0),1),""),Übungen!$A$6:$A$28,0)),""))</f>
        <v>Mindestens bis zur Parallele</v>
      </c>
      <c r="G38" s="24" t="str">
        <f aca="false">IF(Start!$C$7&lt;4,"",IFERROR(INDEX(Übungen!$C$6:$C$28,MATCH(IFERROR(INDEX(Referenz!$B$14:$H$21,MATCH($H$36,Referenz!$A$14:$A$21,0),1),""),Übungen!$A$6:$A$28,0))&amp;"",""))</f>
        <v>Gesäß</v>
      </c>
    </row>
    <row r="39" customFormat="false" ht="15" hidden="false" customHeight="false" outlineLevel="0" collapsed="false">
      <c r="A39" s="21" t="str">
        <f aca="false">IF(Start!$C$7&lt;4,"",IFERROR(IF(Start!$C$8="Vollausstattung",IFERROR(INDEX(Referenz!$B$14:$H$21,MATCH($H$36,Referenz!$A$14:$A$21,0),2),""),INDEX(IF(Start!$C$8="Basic Gym",Übungen!$D$6:$D$28,Übungen!$E$6:$E$28),MATCH(IFERROR(INDEX(Referenz!$B$14:$H$21,MATCH($H$36,Referenz!$A$14:$A$21,0),2),""),Übungen!$A$6:$A$28,0))),""))</f>
        <v>Rumänisches Kreuzheben</v>
      </c>
      <c r="B39" s="22" t="str">
        <f aca="false">IF(Start!$C$7&lt;4,"",IFERROR(INDEX(Übungen!$B$6:$B$28,MATCH(IFERROR(INDEX(Referenz!$B$14:$H$21,MATCH($H$36,Referenz!$A$14:$A$21,0),2),""),Übungen!$A$6:$A$28,0)),""))</f>
        <v>Hamstrings</v>
      </c>
      <c r="C39" s="22" t="n">
        <f aca="false">IF(Start!$C$7&lt;4,"",IFERROR(MIN(6,MAX(2,ROUND(INDEX(Übungen!$G$6:$G$28,MATCH(IFERROR(INDEX(Referenz!$B$14:$H$21,MATCH($H$36,Referenz!$A$14:$A$21,0),2),""),Übungen!$A$6:$A$28,0))*IFERROR(INDEX(Referenz!$B$26:$B$28,MATCH(Start!$C$9,Referenz!$A$26:$A$28,0)),1)*IFERROR(INDEX(Referenz!$B$30:$B$33,MATCH(Start!$C$7,Referenz!$A$30:$A$33,0)),1)*Referenz!$B$34,0))),""))</f>
        <v>4</v>
      </c>
      <c r="D39" s="22" t="str">
        <f aca="false">IF(Start!$C$7&lt;4,"",IFERROR(INDEX(Übungen!$F$6:$F$28,MATCH(IFERROR(INDEX(Referenz!$B$14:$H$21,MATCH($H$36,Referenz!$A$14:$A$21,0),2),""),Übungen!$A$6:$A$28,0)),""))</f>
        <v>8 – 10</v>
      </c>
      <c r="E39" s="22" t="str">
        <f aca="false">IF(Start!$C$7&lt;4,"","1 – 3")</f>
        <v>1 – 3</v>
      </c>
      <c r="F39" s="23" t="str">
        <f aca="false">IF(Start!$C$7&lt;4,"",IFERROR(INDEX(Übungen!$H$6:$H$28,MATCH(IFERROR(INDEX(Referenz!$B$14:$H$21,MATCH($H$36,Referenz!$A$14:$A$21,0),2),""),Übungen!$A$6:$A$28,0)),""))</f>
        <v>Rücken neutral, Dehnung spüren</v>
      </c>
      <c r="G39" s="24" t="str">
        <f aca="false">IF(Start!$C$7&lt;4,"",IFERROR(INDEX(Übungen!$C$6:$C$28,MATCH(IFERROR(INDEX(Referenz!$B$14:$H$21,MATCH($H$36,Referenz!$A$14:$A$21,0),2),""),Übungen!$A$6:$A$28,0))&amp;"",""))</f>
        <v>Gesäß</v>
      </c>
    </row>
    <row r="40" customFormat="false" ht="15" hidden="false" customHeight="false" outlineLevel="0" collapsed="false">
      <c r="A40" s="21" t="str">
        <f aca="false">IF(Start!$C$7&lt;4,"",IFERROR(IF(Start!$C$8="Vollausstattung",IFERROR(INDEX(Referenz!$B$14:$H$21,MATCH($H$36,Referenz!$A$14:$A$21,0),3),""),INDEX(IF(Start!$C$8="Basic Gym",Übungen!$D$6:$D$28,Übungen!$E$6:$E$28),MATCH(IFERROR(INDEX(Referenz!$B$14:$H$21,MATCH($H$36,Referenz!$A$14:$A$21,0),3),""),Übungen!$A$6:$A$28,0))),""))</f>
        <v>Beinpresse</v>
      </c>
      <c r="B40" s="22" t="str">
        <f aca="false">IF(Start!$C$7&lt;4,"",IFERROR(INDEX(Übungen!$B$6:$B$28,MATCH(IFERROR(INDEX(Referenz!$B$14:$H$21,MATCH($H$36,Referenz!$A$14:$A$21,0),3),""),Übungen!$A$6:$A$28,0)),""))</f>
        <v>Quadrizeps</v>
      </c>
      <c r="C40" s="22" t="n">
        <f aca="false">IF(Start!$C$7&lt;4,"",IFERROR(MIN(6,MAX(2,ROUND(INDEX(Übungen!$G$6:$G$28,MATCH(IFERROR(INDEX(Referenz!$B$14:$H$21,MATCH($H$36,Referenz!$A$14:$A$21,0),3),""),Übungen!$A$6:$A$28,0))*IFERROR(INDEX(Referenz!$B$26:$B$28,MATCH(Start!$C$9,Referenz!$A$26:$A$28,0)),1)*IFERROR(INDEX(Referenz!$B$30:$B$33,MATCH(Start!$C$7,Referenz!$A$30:$A$33,0)),1)*Referenz!$B$34,0))),""))</f>
        <v>4</v>
      </c>
      <c r="D40" s="22" t="str">
        <f aca="false">IF(Start!$C$7&lt;4,"",IFERROR(INDEX(Übungen!$F$6:$F$28,MATCH(IFERROR(INDEX(Referenz!$B$14:$H$21,MATCH($H$36,Referenz!$A$14:$A$21,0),3),""),Übungen!$A$6:$A$28,0)),""))</f>
        <v>10 – 15</v>
      </c>
      <c r="E40" s="22" t="str">
        <f aca="false">IF(Start!$C$7&lt;4,"","1 – 3")</f>
        <v>1 – 3</v>
      </c>
      <c r="F40" s="23" t="str">
        <f aca="false">IF(Start!$C$7&lt;4,"",IFERROR(INDEX(Übungen!$H$6:$H$28,MATCH(IFERROR(INDEX(Referenz!$B$14:$H$21,MATCH($H$36,Referenz!$A$14:$A$21,0),3),""),Übungen!$A$6:$A$28,0)),""))</f>
        <v>Knie nicht durchdrücken</v>
      </c>
      <c r="G40" s="24" t="str">
        <f aca="false">IF(Start!$C$7&lt;4,"",IFERROR(INDEX(Übungen!$C$6:$C$28,MATCH(IFERROR(INDEX(Referenz!$B$14:$H$21,MATCH($H$36,Referenz!$A$14:$A$21,0),3),""),Übungen!$A$6:$A$28,0))&amp;"",""))</f>
        <v>Gesäß</v>
      </c>
    </row>
    <row r="41" customFormat="false" ht="15" hidden="false" customHeight="false" outlineLevel="0" collapsed="false">
      <c r="A41" s="21" t="str">
        <f aca="false">IF(Start!$C$7&lt;4,"",IFERROR(IF(Start!$C$8="Vollausstattung",IFERROR(INDEX(Referenz!$B$14:$H$21,MATCH($H$36,Referenz!$A$14:$A$21,0),4),""),INDEX(IF(Start!$C$8="Basic Gym",Übungen!$D$6:$D$28,Übungen!$E$6:$E$28),MATCH(IFERROR(INDEX(Referenz!$B$14:$H$21,MATCH($H$36,Referenz!$A$14:$A$21,0),4),""),Übungen!$A$6:$A$28,0))),""))</f>
        <v>Beinbeuger liegend</v>
      </c>
      <c r="B41" s="22" t="str">
        <f aca="false">IF(Start!$C$7&lt;4,"",IFERROR(INDEX(Übungen!$B$6:$B$28,MATCH(IFERROR(INDEX(Referenz!$B$14:$H$21,MATCH($H$36,Referenz!$A$14:$A$21,0),4),""),Übungen!$A$6:$A$28,0)),""))</f>
        <v>Hamstrings</v>
      </c>
      <c r="C41" s="22" t="n">
        <f aca="false">IF(Start!$C$7&lt;4,"",IFERROR(MIN(6,MAX(2,ROUND(INDEX(Übungen!$G$6:$G$28,MATCH(IFERROR(INDEX(Referenz!$B$14:$H$21,MATCH($H$36,Referenz!$A$14:$A$21,0),4),""),Übungen!$A$6:$A$28,0))*IFERROR(INDEX(Referenz!$B$26:$B$28,MATCH(Start!$C$9,Referenz!$A$26:$A$28,0)),1)*IFERROR(INDEX(Referenz!$B$30:$B$33,MATCH(Start!$C$7,Referenz!$A$30:$A$33,0)),1)*Referenz!$B$34,0))),""))</f>
        <v>4</v>
      </c>
      <c r="D41" s="22" t="str">
        <f aca="false">IF(Start!$C$7&lt;4,"",IFERROR(INDEX(Übungen!$F$6:$F$28,MATCH(IFERROR(INDEX(Referenz!$B$14:$H$21,MATCH($H$36,Referenz!$A$14:$A$21,0),4),""),Übungen!$A$6:$A$28,0)),""))</f>
        <v>10 – 15</v>
      </c>
      <c r="E41" s="22" t="str">
        <f aca="false">IF(Start!$C$7&lt;4,"","1 – 3")</f>
        <v>1 – 3</v>
      </c>
      <c r="F41" s="23" t="str">
        <f aca="false">IF(Start!$C$7&lt;4,"",IFERROR(INDEX(Übungen!$H$6:$H$28,MATCH(IFERROR(INDEX(Referenz!$B$14:$H$21,MATCH($H$36,Referenz!$A$14:$A$21,0),4),""),Übungen!$A$6:$A$28,0)),""))</f>
        <v>Kontrolliert ablassen</v>
      </c>
      <c r="G41" s="24" t="str">
        <f aca="false">IF(Start!$C$7&lt;4,"",IFERROR(INDEX(Übungen!$C$6:$C$28,MATCH(IFERROR(INDEX(Referenz!$B$14:$H$21,MATCH($H$36,Referenz!$A$14:$A$21,0),4),""),Übungen!$A$6:$A$28,0))&amp;"",""))</f>
        <v/>
      </c>
    </row>
    <row r="42" customFormat="false" ht="15" hidden="false" customHeight="false" outlineLevel="0" collapsed="false">
      <c r="A42" s="21" t="str">
        <f aca="false">IF(Start!$C$7&lt;4,"",IFERROR(IF(Start!$C$8="Vollausstattung",IFERROR(INDEX(Referenz!$B$14:$H$21,MATCH($H$36,Referenz!$A$14:$A$21,0),5),""),INDEX(IF(Start!$C$8="Basic Gym",Übungen!$D$6:$D$28,Übungen!$E$6:$E$28),MATCH(IFERROR(INDEX(Referenz!$B$14:$H$21,MATCH($H$36,Referenz!$A$14:$A$21,0),5),""),Übungen!$A$6:$A$28,0))),""))</f>
        <v>Hip Thrust</v>
      </c>
      <c r="B42" s="22" t="str">
        <f aca="false">IF(Start!$C$7&lt;4,"",IFERROR(INDEX(Übungen!$B$6:$B$28,MATCH(IFERROR(INDEX(Referenz!$B$14:$H$21,MATCH($H$36,Referenz!$A$14:$A$21,0),5),""),Übungen!$A$6:$A$28,0)),""))</f>
        <v>Gesäß</v>
      </c>
      <c r="C42" s="22" t="n">
        <f aca="false">IF(Start!$C$7&lt;4,"",IFERROR(MIN(6,MAX(2,ROUND(INDEX(Übungen!$G$6:$G$28,MATCH(IFERROR(INDEX(Referenz!$B$14:$H$21,MATCH($H$36,Referenz!$A$14:$A$21,0),5),""),Übungen!$A$6:$A$28,0))*IFERROR(INDEX(Referenz!$B$26:$B$28,MATCH(Start!$C$9,Referenz!$A$26:$A$28,0)),1)*IFERROR(INDEX(Referenz!$B$30:$B$33,MATCH(Start!$C$7,Referenz!$A$30:$A$33,0)),1)*Referenz!$B$34,0))),""))</f>
        <v>4</v>
      </c>
      <c r="D42" s="22" t="str">
        <f aca="false">IF(Start!$C$7&lt;4,"",IFERROR(INDEX(Übungen!$F$6:$F$28,MATCH(IFERROR(INDEX(Referenz!$B$14:$H$21,MATCH($H$36,Referenz!$A$14:$A$21,0),5),""),Übungen!$A$6:$A$28,0)),""))</f>
        <v>8 – 12</v>
      </c>
      <c r="E42" s="22" t="str">
        <f aca="false">IF(Start!$C$7&lt;4,"","1 – 3")</f>
        <v>1 – 3</v>
      </c>
      <c r="F42" s="23" t="str">
        <f aca="false">IF(Start!$C$7&lt;4,"",IFERROR(INDEX(Übungen!$H$6:$H$28,MATCH(IFERROR(INDEX(Referenz!$B$14:$H$21,MATCH($H$36,Referenz!$A$14:$A$21,0),5),""),Übungen!$A$6:$A$28,0)),""))</f>
        <v>Oben 1 Sekunde halten</v>
      </c>
      <c r="G42" s="24" t="str">
        <f aca="false">IF(Start!$C$7&lt;4,"",IFERROR(INDEX(Übungen!$C$6:$C$28,MATCH(IFERROR(INDEX(Referenz!$B$14:$H$21,MATCH($H$36,Referenz!$A$14:$A$21,0),5),""),Übungen!$A$6:$A$28,0))&amp;"",""))</f>
        <v>Hamstrings</v>
      </c>
    </row>
    <row r="43" customFormat="false" ht="15" hidden="false" customHeight="false" outlineLevel="0" collapsed="false">
      <c r="A43" s="21" t="str">
        <f aca="false">IF(Start!$C$7&lt;4,"",IFERROR(IF(Start!$C$8="Vollausstattung",IFERROR(INDEX(Referenz!$B$14:$H$21,MATCH($H$36,Referenz!$A$14:$A$21,0),6),""),INDEX(IF(Start!$C$8="Basic Gym",Übungen!$D$6:$D$28,Übungen!$E$6:$E$28),MATCH(IFERROR(INDEX(Referenz!$B$14:$H$21,MATCH($H$36,Referenz!$A$14:$A$21,0),6),""),Übungen!$A$6:$A$28,0))),""))</f>
        <v>Wadenheben stehend</v>
      </c>
      <c r="B43" s="22" t="str">
        <f aca="false">IF(Start!$C$7&lt;4,"",IFERROR(INDEX(Übungen!$B$6:$B$28,MATCH(IFERROR(INDEX(Referenz!$B$14:$H$21,MATCH($H$36,Referenz!$A$14:$A$21,0),6),""),Übungen!$A$6:$A$28,0)),""))</f>
        <v>Waden</v>
      </c>
      <c r="C43" s="22" t="n">
        <f aca="false">IF(Start!$C$7&lt;4,"",IFERROR(MIN(6,MAX(2,ROUND(INDEX(Übungen!$G$6:$G$28,MATCH(IFERROR(INDEX(Referenz!$B$14:$H$21,MATCH($H$36,Referenz!$A$14:$A$21,0),6),""),Übungen!$A$6:$A$28,0))*IFERROR(INDEX(Referenz!$B$26:$B$28,MATCH(Start!$C$9,Referenz!$A$26:$A$28,0)),1)*IFERROR(INDEX(Referenz!$B$30:$B$33,MATCH(Start!$C$7,Referenz!$A$30:$A$33,0)),1)*Referenz!$B$34,0))),""))</f>
        <v>4</v>
      </c>
      <c r="D43" s="22" t="str">
        <f aca="false">IF(Start!$C$7&lt;4,"",IFERROR(INDEX(Übungen!$F$6:$F$28,MATCH(IFERROR(INDEX(Referenz!$B$14:$H$21,MATCH($H$36,Referenz!$A$14:$A$21,0),6),""),Übungen!$A$6:$A$28,0)),""))</f>
        <v>12 – 20</v>
      </c>
      <c r="E43" s="22" t="str">
        <f aca="false">IF(Start!$C$7&lt;4,"","1 – 3")</f>
        <v>1 – 3</v>
      </c>
      <c r="F43" s="23" t="str">
        <f aca="false">IF(Start!$C$7&lt;4,"",IFERROR(INDEX(Übungen!$H$6:$H$28,MATCH(IFERROR(INDEX(Referenz!$B$14:$H$21,MATCH($H$36,Referenz!$A$14:$A$21,0),6),""),Übungen!$A$6:$A$28,0)),""))</f>
        <v>Volle Dehnung unten</v>
      </c>
      <c r="G43" s="24" t="str">
        <f aca="false">IF(Start!$C$7&lt;4,"",IFERROR(INDEX(Übungen!$C$6:$C$28,MATCH(IFERROR(INDEX(Referenz!$B$14:$H$21,MATCH($H$36,Referenz!$A$14:$A$21,0),6),""),Übungen!$A$6:$A$28,0))&amp;"",""))</f>
        <v/>
      </c>
    </row>
    <row r="44" customFormat="false" ht="15" hidden="false" customHeight="false" outlineLevel="0" collapsed="false">
      <c r="A44" s="21" t="str">
        <f aca="false">IF(Start!$C$7&lt;4,"",IFERROR(IF(Start!$C$8="Vollausstattung",IFERROR(INDEX(Referenz!$B$14:$H$21,MATCH($H$36,Referenz!$A$14:$A$21,0),7),""),INDEX(IF(Start!$C$8="Basic Gym",Übungen!$D$6:$D$28,Übungen!$E$6:$E$28),MATCH(IFERROR(INDEX(Referenz!$B$14:$H$21,MATCH($H$36,Referenz!$A$14:$A$21,0),7),""),Übungen!$A$6:$A$28,0))),""))</f>
        <v>Bauchmaschine / Kabel-Crunch</v>
      </c>
      <c r="B44" s="22" t="str">
        <f aca="false">IF(Start!$C$7&lt;4,"",IFERROR(INDEX(Übungen!$B$6:$B$28,MATCH(IFERROR(INDEX(Referenz!$B$14:$H$21,MATCH($H$36,Referenz!$A$14:$A$21,0),7),""),Übungen!$A$6:$A$28,0)),""))</f>
        <v>Rumpf</v>
      </c>
      <c r="C44" s="22" t="n">
        <f aca="false">IF(Start!$C$7&lt;4,"",IFERROR(MIN(6,MAX(2,ROUND(INDEX(Übungen!$G$6:$G$28,MATCH(IFERROR(INDEX(Referenz!$B$14:$H$21,MATCH($H$36,Referenz!$A$14:$A$21,0),7),""),Übungen!$A$6:$A$28,0))*IFERROR(INDEX(Referenz!$B$26:$B$28,MATCH(Start!$C$9,Referenz!$A$26:$A$28,0)),1)*IFERROR(INDEX(Referenz!$B$30:$B$33,MATCH(Start!$C$7,Referenz!$A$30:$A$33,0)),1)*Referenz!$B$34,0))),""))</f>
        <v>4</v>
      </c>
      <c r="D44" s="22" t="str">
        <f aca="false">IF(Start!$C$7&lt;4,"",IFERROR(INDEX(Übungen!$F$6:$F$28,MATCH(IFERROR(INDEX(Referenz!$B$14:$H$21,MATCH($H$36,Referenz!$A$14:$A$21,0),7),""),Übungen!$A$6:$A$28,0)),""))</f>
        <v>12 – 20</v>
      </c>
      <c r="E44" s="22" t="str">
        <f aca="false">IF(Start!$C$7&lt;4,"","1 – 3")</f>
        <v>1 – 3</v>
      </c>
      <c r="F44" s="23" t="str">
        <f aca="false">IF(Start!$C$7&lt;4,"",IFERROR(INDEX(Übungen!$H$6:$H$28,MATCH(IFERROR(INDEX(Referenz!$B$14:$H$21,MATCH($H$36,Referenz!$A$14:$A$21,0),7),""),Übungen!$A$6:$A$28,0)),""))</f>
        <v>Bewegung aus dem Bauch, nicht aus dem Nacken</v>
      </c>
      <c r="G44" s="24" t="str">
        <f aca="false">IF(Start!$C$7&lt;4,"",IFERROR(INDEX(Übungen!$C$6:$C$28,MATCH(IFERROR(INDEX(Referenz!$B$14:$H$21,MATCH($H$36,Referenz!$A$14:$A$21,0),7),""),Übungen!$A$6:$A$28,0))&amp;"",""))</f>
        <v/>
      </c>
    </row>
    <row r="46" customFormat="false" ht="19.5" hidden="false" customHeight="true" outlineLevel="0" collapsed="false">
      <c r="A46" s="17" t="str">
        <f aca="false">IF(Start!$C$7&gt;=5,"EINHEIT 5  ·  "&amp;H46,"")</f>
        <v/>
      </c>
      <c r="B46" s="2"/>
      <c r="C46" s="2"/>
      <c r="D46" s="2"/>
      <c r="E46" s="2"/>
      <c r="F46" s="2"/>
      <c r="H46" s="18" t="str">
        <f aca="false">IF(Start!$C$7&gt;=5,IFERROR(INDEX(Referenz!$B$6:$G$9,MATCH(Start!$C$7,Referenz!$A$6:$A$9,0),5),""),"")</f>
        <v/>
      </c>
    </row>
    <row r="47" customFormat="false" ht="15" hidden="false" customHeight="false" outlineLevel="0" collapsed="false">
      <c r="A47" s="19" t="str">
        <f aca="false">IF(Start!$C$7&gt;=5,"Übung","")</f>
        <v/>
      </c>
      <c r="B47" s="19" t="str">
        <f aca="false">IF(Start!$C$7&gt;=5,"Muskelgruppe","")</f>
        <v/>
      </c>
      <c r="C47" s="19" t="str">
        <f aca="false">IF(Start!$C$7&gt;=5,"Sätze","")</f>
        <v/>
      </c>
      <c r="D47" s="19" t="str">
        <f aca="false">IF(Start!$C$7&gt;=5,"Wdh","")</f>
        <v/>
      </c>
      <c r="E47" s="19" t="str">
        <f aca="false">IF(Start!$C$7&gt;=5,"RIR","")</f>
        <v/>
      </c>
      <c r="F47" s="19" t="str">
        <f aca="false">IF(Start!$C$7&gt;=5,"Hinweis","")</f>
        <v/>
      </c>
      <c r="G47" s="20" t="str">
        <f aca="false">IF(Start!$C$7&gt;=5,"Sekundär","")</f>
        <v/>
      </c>
    </row>
    <row r="48" customFormat="false" ht="15" hidden="false" customHeight="false" outlineLevel="0" collapsed="false">
      <c r="A48" s="21" t="str">
        <f aca="false">IF(Start!$C$7&lt;5,"",IFERROR(IF(Start!$C$8="Vollausstattung",IFERROR(INDEX(Referenz!$B$14:$H$21,MATCH($H$46,Referenz!$A$14:$A$21,0),1),""),INDEX(IF(Start!$C$8="Basic Gym",Übungen!$D$6:$D$28,Übungen!$E$6:$E$28),MATCH(IFERROR(INDEX(Referenz!$B$14:$H$21,MATCH($H$46,Referenz!$A$14:$A$21,0),1),""),Übungen!$A$6:$A$28,0))),""))</f>
        <v/>
      </c>
      <c r="B48" s="22" t="str">
        <f aca="false">IF(Start!$C$7&lt;5,"",IFERROR(INDEX(Übungen!$B$6:$B$28,MATCH(IFERROR(INDEX(Referenz!$B$14:$H$21,MATCH($H$46,Referenz!$A$14:$A$21,0),1),""),Übungen!$A$6:$A$28,0)),""))</f>
        <v/>
      </c>
      <c r="C48" s="22" t="str">
        <f aca="false">IF(Start!$C$7&lt;5,"",IFERROR(MIN(6,MAX(2,ROUND(INDEX(Übungen!$G$6:$G$28,MATCH(IFERROR(INDEX(Referenz!$B$14:$H$21,MATCH($H$46,Referenz!$A$14:$A$21,0),1),""),Übungen!$A$6:$A$28,0))*IFERROR(INDEX(Referenz!$B$26:$B$28,MATCH(Start!$C$9,Referenz!$A$26:$A$28,0)),1)*IFERROR(INDEX(Referenz!$B$30:$B$33,MATCH(Start!$C$7,Referenz!$A$30:$A$33,0)),1)*Referenz!$B$34,0))),""))</f>
        <v/>
      </c>
      <c r="D48" s="22" t="str">
        <f aca="false">IF(Start!$C$7&lt;5,"",IFERROR(INDEX(Übungen!$F$6:$F$28,MATCH(IFERROR(INDEX(Referenz!$B$14:$H$21,MATCH($H$46,Referenz!$A$14:$A$21,0),1),""),Übungen!$A$6:$A$28,0)),""))</f>
        <v/>
      </c>
      <c r="E48" s="22" t="str">
        <f aca="false">IF(Start!$C$7&lt;5,"","1 – 3")</f>
        <v/>
      </c>
      <c r="F48" s="23" t="str">
        <f aca="false">IF(Start!$C$7&lt;5,"",IFERROR(INDEX(Übungen!$H$6:$H$28,MATCH(IFERROR(INDEX(Referenz!$B$14:$H$21,MATCH($H$46,Referenz!$A$14:$A$21,0),1),""),Übungen!$A$6:$A$28,0)),""))</f>
        <v/>
      </c>
      <c r="G48" s="24" t="str">
        <f aca="false">IF(Start!$C$7&lt;5,"",IFERROR(INDEX(Übungen!$C$6:$C$28,MATCH(IFERROR(INDEX(Referenz!$B$14:$H$21,MATCH($H$46,Referenz!$A$14:$A$21,0),1),""),Übungen!$A$6:$A$28,0))&amp;"",""))</f>
        <v/>
      </c>
    </row>
    <row r="49" customFormat="false" ht="15" hidden="false" customHeight="false" outlineLevel="0" collapsed="false">
      <c r="A49" s="21" t="str">
        <f aca="false">IF(Start!$C$7&lt;5,"",IFERROR(IF(Start!$C$8="Vollausstattung",IFERROR(INDEX(Referenz!$B$14:$H$21,MATCH($H$46,Referenz!$A$14:$A$21,0),2),""),INDEX(IF(Start!$C$8="Basic Gym",Übungen!$D$6:$D$28,Übungen!$E$6:$E$28),MATCH(IFERROR(INDEX(Referenz!$B$14:$H$21,MATCH($H$46,Referenz!$A$14:$A$21,0),2),""),Übungen!$A$6:$A$28,0))),""))</f>
        <v/>
      </c>
      <c r="B49" s="22" t="str">
        <f aca="false">IF(Start!$C$7&lt;5,"",IFERROR(INDEX(Übungen!$B$6:$B$28,MATCH(IFERROR(INDEX(Referenz!$B$14:$H$21,MATCH($H$46,Referenz!$A$14:$A$21,0),2),""),Übungen!$A$6:$A$28,0)),""))</f>
        <v/>
      </c>
      <c r="C49" s="22" t="str">
        <f aca="false">IF(Start!$C$7&lt;5,"",IFERROR(MIN(6,MAX(2,ROUND(INDEX(Übungen!$G$6:$G$28,MATCH(IFERROR(INDEX(Referenz!$B$14:$H$21,MATCH($H$46,Referenz!$A$14:$A$21,0),2),""),Übungen!$A$6:$A$28,0))*IFERROR(INDEX(Referenz!$B$26:$B$28,MATCH(Start!$C$9,Referenz!$A$26:$A$28,0)),1)*IFERROR(INDEX(Referenz!$B$30:$B$33,MATCH(Start!$C$7,Referenz!$A$30:$A$33,0)),1)*Referenz!$B$34,0))),""))</f>
        <v/>
      </c>
      <c r="D49" s="22" t="str">
        <f aca="false">IF(Start!$C$7&lt;5,"",IFERROR(INDEX(Übungen!$F$6:$F$28,MATCH(IFERROR(INDEX(Referenz!$B$14:$H$21,MATCH($H$46,Referenz!$A$14:$A$21,0),2),""),Übungen!$A$6:$A$28,0)),""))</f>
        <v/>
      </c>
      <c r="E49" s="22" t="str">
        <f aca="false">IF(Start!$C$7&lt;5,"","1 – 3")</f>
        <v/>
      </c>
      <c r="F49" s="23" t="str">
        <f aca="false">IF(Start!$C$7&lt;5,"",IFERROR(INDEX(Übungen!$H$6:$H$28,MATCH(IFERROR(INDEX(Referenz!$B$14:$H$21,MATCH($H$46,Referenz!$A$14:$A$21,0),2),""),Übungen!$A$6:$A$28,0)),""))</f>
        <v/>
      </c>
      <c r="G49" s="24" t="str">
        <f aca="false">IF(Start!$C$7&lt;5,"",IFERROR(INDEX(Übungen!$C$6:$C$28,MATCH(IFERROR(INDEX(Referenz!$B$14:$H$21,MATCH($H$46,Referenz!$A$14:$A$21,0),2),""),Übungen!$A$6:$A$28,0))&amp;"",""))</f>
        <v/>
      </c>
    </row>
    <row r="50" customFormat="false" ht="15" hidden="false" customHeight="false" outlineLevel="0" collapsed="false">
      <c r="A50" s="21" t="str">
        <f aca="false">IF(Start!$C$7&lt;5,"",IFERROR(IF(Start!$C$8="Vollausstattung",IFERROR(INDEX(Referenz!$B$14:$H$21,MATCH($H$46,Referenz!$A$14:$A$21,0),3),""),INDEX(IF(Start!$C$8="Basic Gym",Übungen!$D$6:$D$28,Übungen!$E$6:$E$28),MATCH(IFERROR(INDEX(Referenz!$B$14:$H$21,MATCH($H$46,Referenz!$A$14:$A$21,0),3),""),Übungen!$A$6:$A$28,0))),""))</f>
        <v/>
      </c>
      <c r="B50" s="22" t="str">
        <f aca="false">IF(Start!$C$7&lt;5,"",IFERROR(INDEX(Übungen!$B$6:$B$28,MATCH(IFERROR(INDEX(Referenz!$B$14:$H$21,MATCH($H$46,Referenz!$A$14:$A$21,0),3),""),Übungen!$A$6:$A$28,0)),""))</f>
        <v/>
      </c>
      <c r="C50" s="22" t="str">
        <f aca="false">IF(Start!$C$7&lt;5,"",IFERROR(MIN(6,MAX(2,ROUND(INDEX(Übungen!$G$6:$G$28,MATCH(IFERROR(INDEX(Referenz!$B$14:$H$21,MATCH($H$46,Referenz!$A$14:$A$21,0),3),""),Übungen!$A$6:$A$28,0))*IFERROR(INDEX(Referenz!$B$26:$B$28,MATCH(Start!$C$9,Referenz!$A$26:$A$28,0)),1)*IFERROR(INDEX(Referenz!$B$30:$B$33,MATCH(Start!$C$7,Referenz!$A$30:$A$33,0)),1)*Referenz!$B$34,0))),""))</f>
        <v/>
      </c>
      <c r="D50" s="22" t="str">
        <f aca="false">IF(Start!$C$7&lt;5,"",IFERROR(INDEX(Übungen!$F$6:$F$28,MATCH(IFERROR(INDEX(Referenz!$B$14:$H$21,MATCH($H$46,Referenz!$A$14:$A$21,0),3),""),Übungen!$A$6:$A$28,0)),""))</f>
        <v/>
      </c>
      <c r="E50" s="22" t="str">
        <f aca="false">IF(Start!$C$7&lt;5,"","1 – 3")</f>
        <v/>
      </c>
      <c r="F50" s="23" t="str">
        <f aca="false">IF(Start!$C$7&lt;5,"",IFERROR(INDEX(Übungen!$H$6:$H$28,MATCH(IFERROR(INDEX(Referenz!$B$14:$H$21,MATCH($H$46,Referenz!$A$14:$A$21,0),3),""),Übungen!$A$6:$A$28,0)),""))</f>
        <v/>
      </c>
      <c r="G50" s="24" t="str">
        <f aca="false">IF(Start!$C$7&lt;5,"",IFERROR(INDEX(Übungen!$C$6:$C$28,MATCH(IFERROR(INDEX(Referenz!$B$14:$H$21,MATCH($H$46,Referenz!$A$14:$A$21,0),3),""),Übungen!$A$6:$A$28,0))&amp;"",""))</f>
        <v/>
      </c>
    </row>
    <row r="51" customFormat="false" ht="15" hidden="false" customHeight="false" outlineLevel="0" collapsed="false">
      <c r="A51" s="21" t="str">
        <f aca="false">IF(Start!$C$7&lt;5,"",IFERROR(IF(Start!$C$8="Vollausstattung",IFERROR(INDEX(Referenz!$B$14:$H$21,MATCH($H$46,Referenz!$A$14:$A$21,0),4),""),INDEX(IF(Start!$C$8="Basic Gym",Übungen!$D$6:$D$28,Übungen!$E$6:$E$28),MATCH(IFERROR(INDEX(Referenz!$B$14:$H$21,MATCH($H$46,Referenz!$A$14:$A$21,0),4),""),Übungen!$A$6:$A$28,0))),""))</f>
        <v/>
      </c>
      <c r="B51" s="22" t="str">
        <f aca="false">IF(Start!$C$7&lt;5,"",IFERROR(INDEX(Übungen!$B$6:$B$28,MATCH(IFERROR(INDEX(Referenz!$B$14:$H$21,MATCH($H$46,Referenz!$A$14:$A$21,0),4),""),Übungen!$A$6:$A$28,0)),""))</f>
        <v/>
      </c>
      <c r="C51" s="22" t="str">
        <f aca="false">IF(Start!$C$7&lt;5,"",IFERROR(MIN(6,MAX(2,ROUND(INDEX(Übungen!$G$6:$G$28,MATCH(IFERROR(INDEX(Referenz!$B$14:$H$21,MATCH($H$46,Referenz!$A$14:$A$21,0),4),""),Übungen!$A$6:$A$28,0))*IFERROR(INDEX(Referenz!$B$26:$B$28,MATCH(Start!$C$9,Referenz!$A$26:$A$28,0)),1)*IFERROR(INDEX(Referenz!$B$30:$B$33,MATCH(Start!$C$7,Referenz!$A$30:$A$33,0)),1)*Referenz!$B$34,0))),""))</f>
        <v/>
      </c>
      <c r="D51" s="22" t="str">
        <f aca="false">IF(Start!$C$7&lt;5,"",IFERROR(INDEX(Übungen!$F$6:$F$28,MATCH(IFERROR(INDEX(Referenz!$B$14:$H$21,MATCH($H$46,Referenz!$A$14:$A$21,0),4),""),Übungen!$A$6:$A$28,0)),""))</f>
        <v/>
      </c>
      <c r="E51" s="22" t="str">
        <f aca="false">IF(Start!$C$7&lt;5,"","1 – 3")</f>
        <v/>
      </c>
      <c r="F51" s="23" t="str">
        <f aca="false">IF(Start!$C$7&lt;5,"",IFERROR(INDEX(Übungen!$H$6:$H$28,MATCH(IFERROR(INDEX(Referenz!$B$14:$H$21,MATCH($H$46,Referenz!$A$14:$A$21,0),4),""),Übungen!$A$6:$A$28,0)),""))</f>
        <v/>
      </c>
      <c r="G51" s="24" t="str">
        <f aca="false">IF(Start!$C$7&lt;5,"",IFERROR(INDEX(Übungen!$C$6:$C$28,MATCH(IFERROR(INDEX(Referenz!$B$14:$H$21,MATCH($H$46,Referenz!$A$14:$A$21,0),4),""),Übungen!$A$6:$A$28,0))&amp;"",""))</f>
        <v/>
      </c>
    </row>
    <row r="52" customFormat="false" ht="15" hidden="false" customHeight="false" outlineLevel="0" collapsed="false">
      <c r="A52" s="21" t="str">
        <f aca="false">IF(Start!$C$7&lt;5,"",IFERROR(IF(Start!$C$8="Vollausstattung",IFERROR(INDEX(Referenz!$B$14:$H$21,MATCH($H$46,Referenz!$A$14:$A$21,0),5),""),INDEX(IF(Start!$C$8="Basic Gym",Übungen!$D$6:$D$28,Übungen!$E$6:$E$28),MATCH(IFERROR(INDEX(Referenz!$B$14:$H$21,MATCH($H$46,Referenz!$A$14:$A$21,0),5),""),Übungen!$A$6:$A$28,0))),""))</f>
        <v/>
      </c>
      <c r="B52" s="22" t="str">
        <f aca="false">IF(Start!$C$7&lt;5,"",IFERROR(INDEX(Übungen!$B$6:$B$28,MATCH(IFERROR(INDEX(Referenz!$B$14:$H$21,MATCH($H$46,Referenz!$A$14:$A$21,0),5),""),Übungen!$A$6:$A$28,0)),""))</f>
        <v/>
      </c>
      <c r="C52" s="22" t="str">
        <f aca="false">IF(Start!$C$7&lt;5,"",IFERROR(MIN(6,MAX(2,ROUND(INDEX(Übungen!$G$6:$G$28,MATCH(IFERROR(INDEX(Referenz!$B$14:$H$21,MATCH($H$46,Referenz!$A$14:$A$21,0),5),""),Übungen!$A$6:$A$28,0))*IFERROR(INDEX(Referenz!$B$26:$B$28,MATCH(Start!$C$9,Referenz!$A$26:$A$28,0)),1)*IFERROR(INDEX(Referenz!$B$30:$B$33,MATCH(Start!$C$7,Referenz!$A$30:$A$33,0)),1)*Referenz!$B$34,0))),""))</f>
        <v/>
      </c>
      <c r="D52" s="22" t="str">
        <f aca="false">IF(Start!$C$7&lt;5,"",IFERROR(INDEX(Übungen!$F$6:$F$28,MATCH(IFERROR(INDEX(Referenz!$B$14:$H$21,MATCH($H$46,Referenz!$A$14:$A$21,0),5),""),Übungen!$A$6:$A$28,0)),""))</f>
        <v/>
      </c>
      <c r="E52" s="22" t="str">
        <f aca="false">IF(Start!$C$7&lt;5,"","1 – 3")</f>
        <v/>
      </c>
      <c r="F52" s="23" t="str">
        <f aca="false">IF(Start!$C$7&lt;5,"",IFERROR(INDEX(Übungen!$H$6:$H$28,MATCH(IFERROR(INDEX(Referenz!$B$14:$H$21,MATCH($H$46,Referenz!$A$14:$A$21,0),5),""),Übungen!$A$6:$A$28,0)),""))</f>
        <v/>
      </c>
      <c r="G52" s="24" t="str">
        <f aca="false">IF(Start!$C$7&lt;5,"",IFERROR(INDEX(Übungen!$C$6:$C$28,MATCH(IFERROR(INDEX(Referenz!$B$14:$H$21,MATCH($H$46,Referenz!$A$14:$A$21,0),5),""),Übungen!$A$6:$A$28,0))&amp;"",""))</f>
        <v/>
      </c>
    </row>
    <row r="53" customFormat="false" ht="15" hidden="false" customHeight="false" outlineLevel="0" collapsed="false">
      <c r="A53" s="21" t="str">
        <f aca="false">IF(Start!$C$7&lt;5,"",IFERROR(IF(Start!$C$8="Vollausstattung",IFERROR(INDEX(Referenz!$B$14:$H$21,MATCH($H$46,Referenz!$A$14:$A$21,0),6),""),INDEX(IF(Start!$C$8="Basic Gym",Übungen!$D$6:$D$28,Übungen!$E$6:$E$28),MATCH(IFERROR(INDEX(Referenz!$B$14:$H$21,MATCH($H$46,Referenz!$A$14:$A$21,0),6),""),Übungen!$A$6:$A$28,0))),""))</f>
        <v/>
      </c>
      <c r="B53" s="22" t="str">
        <f aca="false">IF(Start!$C$7&lt;5,"",IFERROR(INDEX(Übungen!$B$6:$B$28,MATCH(IFERROR(INDEX(Referenz!$B$14:$H$21,MATCH($H$46,Referenz!$A$14:$A$21,0),6),""),Übungen!$A$6:$A$28,0)),""))</f>
        <v/>
      </c>
      <c r="C53" s="22" t="str">
        <f aca="false">IF(Start!$C$7&lt;5,"",IFERROR(MIN(6,MAX(2,ROUND(INDEX(Übungen!$G$6:$G$28,MATCH(IFERROR(INDEX(Referenz!$B$14:$H$21,MATCH($H$46,Referenz!$A$14:$A$21,0),6),""),Übungen!$A$6:$A$28,0))*IFERROR(INDEX(Referenz!$B$26:$B$28,MATCH(Start!$C$9,Referenz!$A$26:$A$28,0)),1)*IFERROR(INDEX(Referenz!$B$30:$B$33,MATCH(Start!$C$7,Referenz!$A$30:$A$33,0)),1)*Referenz!$B$34,0))),""))</f>
        <v/>
      </c>
      <c r="D53" s="22" t="str">
        <f aca="false">IF(Start!$C$7&lt;5,"",IFERROR(INDEX(Übungen!$F$6:$F$28,MATCH(IFERROR(INDEX(Referenz!$B$14:$H$21,MATCH($H$46,Referenz!$A$14:$A$21,0),6),""),Übungen!$A$6:$A$28,0)),""))</f>
        <v/>
      </c>
      <c r="E53" s="22" t="str">
        <f aca="false">IF(Start!$C$7&lt;5,"","1 – 3")</f>
        <v/>
      </c>
      <c r="F53" s="23" t="str">
        <f aca="false">IF(Start!$C$7&lt;5,"",IFERROR(INDEX(Übungen!$H$6:$H$28,MATCH(IFERROR(INDEX(Referenz!$B$14:$H$21,MATCH($H$46,Referenz!$A$14:$A$21,0),6),""),Übungen!$A$6:$A$28,0)),""))</f>
        <v/>
      </c>
      <c r="G53" s="24" t="str">
        <f aca="false">IF(Start!$C$7&lt;5,"",IFERROR(INDEX(Übungen!$C$6:$C$28,MATCH(IFERROR(INDEX(Referenz!$B$14:$H$21,MATCH($H$46,Referenz!$A$14:$A$21,0),6),""),Übungen!$A$6:$A$28,0))&amp;"",""))</f>
        <v/>
      </c>
    </row>
    <row r="54" customFormat="false" ht="15" hidden="false" customHeight="false" outlineLevel="0" collapsed="false">
      <c r="A54" s="21" t="str">
        <f aca="false">IF(Start!$C$7&lt;5,"",IFERROR(IF(Start!$C$8="Vollausstattung",IFERROR(INDEX(Referenz!$B$14:$H$21,MATCH($H$46,Referenz!$A$14:$A$21,0),7),""),INDEX(IF(Start!$C$8="Basic Gym",Übungen!$D$6:$D$28,Übungen!$E$6:$E$28),MATCH(IFERROR(INDEX(Referenz!$B$14:$H$21,MATCH($H$46,Referenz!$A$14:$A$21,0),7),""),Übungen!$A$6:$A$28,0))),""))</f>
        <v/>
      </c>
      <c r="B54" s="22" t="str">
        <f aca="false">IF(Start!$C$7&lt;5,"",IFERROR(INDEX(Übungen!$B$6:$B$28,MATCH(IFERROR(INDEX(Referenz!$B$14:$H$21,MATCH($H$46,Referenz!$A$14:$A$21,0),7),""),Übungen!$A$6:$A$28,0)),""))</f>
        <v/>
      </c>
      <c r="C54" s="22" t="str">
        <f aca="false">IF(Start!$C$7&lt;5,"",IFERROR(MIN(6,MAX(2,ROUND(INDEX(Übungen!$G$6:$G$28,MATCH(IFERROR(INDEX(Referenz!$B$14:$H$21,MATCH($H$46,Referenz!$A$14:$A$21,0),7),""),Übungen!$A$6:$A$28,0))*IFERROR(INDEX(Referenz!$B$26:$B$28,MATCH(Start!$C$9,Referenz!$A$26:$A$28,0)),1)*IFERROR(INDEX(Referenz!$B$30:$B$33,MATCH(Start!$C$7,Referenz!$A$30:$A$33,0)),1)*Referenz!$B$34,0))),""))</f>
        <v/>
      </c>
      <c r="D54" s="22" t="str">
        <f aca="false">IF(Start!$C$7&lt;5,"",IFERROR(INDEX(Übungen!$F$6:$F$28,MATCH(IFERROR(INDEX(Referenz!$B$14:$H$21,MATCH($H$46,Referenz!$A$14:$A$21,0),7),""),Übungen!$A$6:$A$28,0)),""))</f>
        <v/>
      </c>
      <c r="E54" s="22" t="str">
        <f aca="false">IF(Start!$C$7&lt;5,"","1 – 3")</f>
        <v/>
      </c>
      <c r="F54" s="23" t="str">
        <f aca="false">IF(Start!$C$7&lt;5,"",IFERROR(INDEX(Übungen!$H$6:$H$28,MATCH(IFERROR(INDEX(Referenz!$B$14:$H$21,MATCH($H$46,Referenz!$A$14:$A$21,0),7),""),Übungen!$A$6:$A$28,0)),""))</f>
        <v/>
      </c>
      <c r="G54" s="24" t="str">
        <f aca="false">IF(Start!$C$7&lt;5,"",IFERROR(INDEX(Übungen!$C$6:$C$28,MATCH(IFERROR(INDEX(Referenz!$B$14:$H$21,MATCH($H$46,Referenz!$A$14:$A$21,0),7),""),Übungen!$A$6:$A$28,0))&amp;"",""))</f>
        <v/>
      </c>
    </row>
    <row r="56" customFormat="false" ht="19.5" hidden="false" customHeight="true" outlineLevel="0" collapsed="false">
      <c r="A56" s="17" t="str">
        <f aca="false">IF(Start!$C$7&gt;=6,"EINHEIT 6  ·  "&amp;H56,"")</f>
        <v/>
      </c>
      <c r="B56" s="2"/>
      <c r="C56" s="2"/>
      <c r="D56" s="2"/>
      <c r="E56" s="2"/>
      <c r="F56" s="2"/>
      <c r="H56" s="18" t="str">
        <f aca="false">IF(Start!$C$7&gt;=6,IFERROR(INDEX(Referenz!$B$6:$G$9,MATCH(Start!$C$7,Referenz!$A$6:$A$9,0),6),""),"")</f>
        <v/>
      </c>
    </row>
    <row r="57" customFormat="false" ht="15" hidden="false" customHeight="false" outlineLevel="0" collapsed="false">
      <c r="A57" s="19" t="str">
        <f aca="false">IF(Start!$C$7&gt;=6,"Übung","")</f>
        <v/>
      </c>
      <c r="B57" s="19" t="str">
        <f aca="false">IF(Start!$C$7&gt;=6,"Muskelgruppe","")</f>
        <v/>
      </c>
      <c r="C57" s="19" t="str">
        <f aca="false">IF(Start!$C$7&gt;=6,"Sätze","")</f>
        <v/>
      </c>
      <c r="D57" s="19" t="str">
        <f aca="false">IF(Start!$C$7&gt;=6,"Wdh","")</f>
        <v/>
      </c>
      <c r="E57" s="19" t="str">
        <f aca="false">IF(Start!$C$7&gt;=6,"RIR","")</f>
        <v/>
      </c>
      <c r="F57" s="19" t="str">
        <f aca="false">IF(Start!$C$7&gt;=6,"Hinweis","")</f>
        <v/>
      </c>
      <c r="G57" s="20" t="str">
        <f aca="false">IF(Start!$C$7&gt;=6,"Sekundär","")</f>
        <v/>
      </c>
    </row>
    <row r="58" customFormat="false" ht="15" hidden="false" customHeight="false" outlineLevel="0" collapsed="false">
      <c r="A58" s="21" t="str">
        <f aca="false">IF(Start!$C$7&lt;6,"",IFERROR(IF(Start!$C$8="Vollausstattung",IFERROR(INDEX(Referenz!$B$14:$H$21,MATCH($H$56,Referenz!$A$14:$A$21,0),1),""),INDEX(IF(Start!$C$8="Basic Gym",Übungen!$D$6:$D$28,Übungen!$E$6:$E$28),MATCH(IFERROR(INDEX(Referenz!$B$14:$H$21,MATCH($H$56,Referenz!$A$14:$A$21,0),1),""),Übungen!$A$6:$A$28,0))),""))</f>
        <v/>
      </c>
      <c r="B58" s="22" t="str">
        <f aca="false">IF(Start!$C$7&lt;6,"",IFERROR(INDEX(Übungen!$B$6:$B$28,MATCH(IFERROR(INDEX(Referenz!$B$14:$H$21,MATCH($H$56,Referenz!$A$14:$A$21,0),1),""),Übungen!$A$6:$A$28,0)),""))</f>
        <v/>
      </c>
      <c r="C58" s="22" t="str">
        <f aca="false">IF(Start!$C$7&lt;6,"",IFERROR(MIN(6,MAX(2,ROUND(INDEX(Übungen!$G$6:$G$28,MATCH(IFERROR(INDEX(Referenz!$B$14:$H$21,MATCH($H$56,Referenz!$A$14:$A$21,0),1),""),Übungen!$A$6:$A$28,0))*IFERROR(INDEX(Referenz!$B$26:$B$28,MATCH(Start!$C$9,Referenz!$A$26:$A$28,0)),1)*IFERROR(INDEX(Referenz!$B$30:$B$33,MATCH(Start!$C$7,Referenz!$A$30:$A$33,0)),1)*Referenz!$B$34,0))),""))</f>
        <v/>
      </c>
      <c r="D58" s="22" t="str">
        <f aca="false">IF(Start!$C$7&lt;6,"",IFERROR(INDEX(Übungen!$F$6:$F$28,MATCH(IFERROR(INDEX(Referenz!$B$14:$H$21,MATCH($H$56,Referenz!$A$14:$A$21,0),1),""),Übungen!$A$6:$A$28,0)),""))</f>
        <v/>
      </c>
      <c r="E58" s="22" t="str">
        <f aca="false">IF(Start!$C$7&lt;6,"","1 – 3")</f>
        <v/>
      </c>
      <c r="F58" s="23" t="str">
        <f aca="false">IF(Start!$C$7&lt;6,"",IFERROR(INDEX(Übungen!$H$6:$H$28,MATCH(IFERROR(INDEX(Referenz!$B$14:$H$21,MATCH($H$56,Referenz!$A$14:$A$21,0),1),""),Übungen!$A$6:$A$28,0)),""))</f>
        <v/>
      </c>
      <c r="G58" s="24" t="str">
        <f aca="false">IF(Start!$C$7&lt;6,"",IFERROR(INDEX(Übungen!$C$6:$C$28,MATCH(IFERROR(INDEX(Referenz!$B$14:$H$21,MATCH($H$56,Referenz!$A$14:$A$21,0),1),""),Übungen!$A$6:$A$28,0))&amp;"",""))</f>
        <v/>
      </c>
    </row>
    <row r="59" customFormat="false" ht="15" hidden="false" customHeight="false" outlineLevel="0" collapsed="false">
      <c r="A59" s="21" t="str">
        <f aca="false">IF(Start!$C$7&lt;6,"",IFERROR(IF(Start!$C$8="Vollausstattung",IFERROR(INDEX(Referenz!$B$14:$H$21,MATCH($H$56,Referenz!$A$14:$A$21,0),2),""),INDEX(IF(Start!$C$8="Basic Gym",Übungen!$D$6:$D$28,Übungen!$E$6:$E$28),MATCH(IFERROR(INDEX(Referenz!$B$14:$H$21,MATCH($H$56,Referenz!$A$14:$A$21,0),2),""),Übungen!$A$6:$A$28,0))),""))</f>
        <v/>
      </c>
      <c r="B59" s="22" t="str">
        <f aca="false">IF(Start!$C$7&lt;6,"",IFERROR(INDEX(Übungen!$B$6:$B$28,MATCH(IFERROR(INDEX(Referenz!$B$14:$H$21,MATCH($H$56,Referenz!$A$14:$A$21,0),2),""),Übungen!$A$6:$A$28,0)),""))</f>
        <v/>
      </c>
      <c r="C59" s="22" t="str">
        <f aca="false">IF(Start!$C$7&lt;6,"",IFERROR(MIN(6,MAX(2,ROUND(INDEX(Übungen!$G$6:$G$28,MATCH(IFERROR(INDEX(Referenz!$B$14:$H$21,MATCH($H$56,Referenz!$A$14:$A$21,0),2),""),Übungen!$A$6:$A$28,0))*IFERROR(INDEX(Referenz!$B$26:$B$28,MATCH(Start!$C$9,Referenz!$A$26:$A$28,0)),1)*IFERROR(INDEX(Referenz!$B$30:$B$33,MATCH(Start!$C$7,Referenz!$A$30:$A$33,0)),1)*Referenz!$B$34,0))),""))</f>
        <v/>
      </c>
      <c r="D59" s="22" t="str">
        <f aca="false">IF(Start!$C$7&lt;6,"",IFERROR(INDEX(Übungen!$F$6:$F$28,MATCH(IFERROR(INDEX(Referenz!$B$14:$H$21,MATCH($H$56,Referenz!$A$14:$A$21,0),2),""),Übungen!$A$6:$A$28,0)),""))</f>
        <v/>
      </c>
      <c r="E59" s="22" t="str">
        <f aca="false">IF(Start!$C$7&lt;6,"","1 – 3")</f>
        <v/>
      </c>
      <c r="F59" s="23" t="str">
        <f aca="false">IF(Start!$C$7&lt;6,"",IFERROR(INDEX(Übungen!$H$6:$H$28,MATCH(IFERROR(INDEX(Referenz!$B$14:$H$21,MATCH($H$56,Referenz!$A$14:$A$21,0),2),""),Übungen!$A$6:$A$28,0)),""))</f>
        <v/>
      </c>
      <c r="G59" s="24" t="str">
        <f aca="false">IF(Start!$C$7&lt;6,"",IFERROR(INDEX(Übungen!$C$6:$C$28,MATCH(IFERROR(INDEX(Referenz!$B$14:$H$21,MATCH($H$56,Referenz!$A$14:$A$21,0),2),""),Übungen!$A$6:$A$28,0))&amp;"",""))</f>
        <v/>
      </c>
    </row>
    <row r="60" customFormat="false" ht="15" hidden="false" customHeight="false" outlineLevel="0" collapsed="false">
      <c r="A60" s="21" t="str">
        <f aca="false">IF(Start!$C$7&lt;6,"",IFERROR(IF(Start!$C$8="Vollausstattung",IFERROR(INDEX(Referenz!$B$14:$H$21,MATCH($H$56,Referenz!$A$14:$A$21,0),3),""),INDEX(IF(Start!$C$8="Basic Gym",Übungen!$D$6:$D$28,Übungen!$E$6:$E$28),MATCH(IFERROR(INDEX(Referenz!$B$14:$H$21,MATCH($H$56,Referenz!$A$14:$A$21,0),3),""),Übungen!$A$6:$A$28,0))),""))</f>
        <v/>
      </c>
      <c r="B60" s="22" t="str">
        <f aca="false">IF(Start!$C$7&lt;6,"",IFERROR(INDEX(Übungen!$B$6:$B$28,MATCH(IFERROR(INDEX(Referenz!$B$14:$H$21,MATCH($H$56,Referenz!$A$14:$A$21,0),3),""),Übungen!$A$6:$A$28,0)),""))</f>
        <v/>
      </c>
      <c r="C60" s="22" t="str">
        <f aca="false">IF(Start!$C$7&lt;6,"",IFERROR(MIN(6,MAX(2,ROUND(INDEX(Übungen!$G$6:$G$28,MATCH(IFERROR(INDEX(Referenz!$B$14:$H$21,MATCH($H$56,Referenz!$A$14:$A$21,0),3),""),Übungen!$A$6:$A$28,0))*IFERROR(INDEX(Referenz!$B$26:$B$28,MATCH(Start!$C$9,Referenz!$A$26:$A$28,0)),1)*IFERROR(INDEX(Referenz!$B$30:$B$33,MATCH(Start!$C$7,Referenz!$A$30:$A$33,0)),1)*Referenz!$B$34,0))),""))</f>
        <v/>
      </c>
      <c r="D60" s="22" t="str">
        <f aca="false">IF(Start!$C$7&lt;6,"",IFERROR(INDEX(Übungen!$F$6:$F$28,MATCH(IFERROR(INDEX(Referenz!$B$14:$H$21,MATCH($H$56,Referenz!$A$14:$A$21,0),3),""),Übungen!$A$6:$A$28,0)),""))</f>
        <v/>
      </c>
      <c r="E60" s="22" t="str">
        <f aca="false">IF(Start!$C$7&lt;6,"","1 – 3")</f>
        <v/>
      </c>
      <c r="F60" s="23" t="str">
        <f aca="false">IF(Start!$C$7&lt;6,"",IFERROR(INDEX(Übungen!$H$6:$H$28,MATCH(IFERROR(INDEX(Referenz!$B$14:$H$21,MATCH($H$56,Referenz!$A$14:$A$21,0),3),""),Übungen!$A$6:$A$28,0)),""))</f>
        <v/>
      </c>
      <c r="G60" s="24" t="str">
        <f aca="false">IF(Start!$C$7&lt;6,"",IFERROR(INDEX(Übungen!$C$6:$C$28,MATCH(IFERROR(INDEX(Referenz!$B$14:$H$21,MATCH($H$56,Referenz!$A$14:$A$21,0),3),""),Übungen!$A$6:$A$28,0))&amp;"",""))</f>
        <v/>
      </c>
    </row>
    <row r="61" customFormat="false" ht="15" hidden="false" customHeight="false" outlineLevel="0" collapsed="false">
      <c r="A61" s="21" t="str">
        <f aca="false">IF(Start!$C$7&lt;6,"",IFERROR(IF(Start!$C$8="Vollausstattung",IFERROR(INDEX(Referenz!$B$14:$H$21,MATCH($H$56,Referenz!$A$14:$A$21,0),4),""),INDEX(IF(Start!$C$8="Basic Gym",Übungen!$D$6:$D$28,Übungen!$E$6:$E$28),MATCH(IFERROR(INDEX(Referenz!$B$14:$H$21,MATCH($H$56,Referenz!$A$14:$A$21,0),4),""),Übungen!$A$6:$A$28,0))),""))</f>
        <v/>
      </c>
      <c r="B61" s="22" t="str">
        <f aca="false">IF(Start!$C$7&lt;6,"",IFERROR(INDEX(Übungen!$B$6:$B$28,MATCH(IFERROR(INDEX(Referenz!$B$14:$H$21,MATCH($H$56,Referenz!$A$14:$A$21,0),4),""),Übungen!$A$6:$A$28,0)),""))</f>
        <v/>
      </c>
      <c r="C61" s="22" t="str">
        <f aca="false">IF(Start!$C$7&lt;6,"",IFERROR(MIN(6,MAX(2,ROUND(INDEX(Übungen!$G$6:$G$28,MATCH(IFERROR(INDEX(Referenz!$B$14:$H$21,MATCH($H$56,Referenz!$A$14:$A$21,0),4),""),Übungen!$A$6:$A$28,0))*IFERROR(INDEX(Referenz!$B$26:$B$28,MATCH(Start!$C$9,Referenz!$A$26:$A$28,0)),1)*IFERROR(INDEX(Referenz!$B$30:$B$33,MATCH(Start!$C$7,Referenz!$A$30:$A$33,0)),1)*Referenz!$B$34,0))),""))</f>
        <v/>
      </c>
      <c r="D61" s="22" t="str">
        <f aca="false">IF(Start!$C$7&lt;6,"",IFERROR(INDEX(Übungen!$F$6:$F$28,MATCH(IFERROR(INDEX(Referenz!$B$14:$H$21,MATCH($H$56,Referenz!$A$14:$A$21,0),4),""),Übungen!$A$6:$A$28,0)),""))</f>
        <v/>
      </c>
      <c r="E61" s="22" t="str">
        <f aca="false">IF(Start!$C$7&lt;6,"","1 – 3")</f>
        <v/>
      </c>
      <c r="F61" s="23" t="str">
        <f aca="false">IF(Start!$C$7&lt;6,"",IFERROR(INDEX(Übungen!$H$6:$H$28,MATCH(IFERROR(INDEX(Referenz!$B$14:$H$21,MATCH($H$56,Referenz!$A$14:$A$21,0),4),""),Übungen!$A$6:$A$28,0)),""))</f>
        <v/>
      </c>
      <c r="G61" s="24" t="str">
        <f aca="false">IF(Start!$C$7&lt;6,"",IFERROR(INDEX(Übungen!$C$6:$C$28,MATCH(IFERROR(INDEX(Referenz!$B$14:$H$21,MATCH($H$56,Referenz!$A$14:$A$21,0),4),""),Übungen!$A$6:$A$28,0))&amp;"",""))</f>
        <v/>
      </c>
    </row>
    <row r="62" customFormat="false" ht="15" hidden="false" customHeight="false" outlineLevel="0" collapsed="false">
      <c r="A62" s="21" t="str">
        <f aca="false">IF(Start!$C$7&lt;6,"",IFERROR(IF(Start!$C$8="Vollausstattung",IFERROR(INDEX(Referenz!$B$14:$H$21,MATCH($H$56,Referenz!$A$14:$A$21,0),5),""),INDEX(IF(Start!$C$8="Basic Gym",Übungen!$D$6:$D$28,Übungen!$E$6:$E$28),MATCH(IFERROR(INDEX(Referenz!$B$14:$H$21,MATCH($H$56,Referenz!$A$14:$A$21,0),5),""),Übungen!$A$6:$A$28,0))),""))</f>
        <v/>
      </c>
      <c r="B62" s="22" t="str">
        <f aca="false">IF(Start!$C$7&lt;6,"",IFERROR(INDEX(Übungen!$B$6:$B$28,MATCH(IFERROR(INDEX(Referenz!$B$14:$H$21,MATCH($H$56,Referenz!$A$14:$A$21,0),5),""),Übungen!$A$6:$A$28,0)),""))</f>
        <v/>
      </c>
      <c r="C62" s="22" t="str">
        <f aca="false">IF(Start!$C$7&lt;6,"",IFERROR(MIN(6,MAX(2,ROUND(INDEX(Übungen!$G$6:$G$28,MATCH(IFERROR(INDEX(Referenz!$B$14:$H$21,MATCH($H$56,Referenz!$A$14:$A$21,0),5),""),Übungen!$A$6:$A$28,0))*IFERROR(INDEX(Referenz!$B$26:$B$28,MATCH(Start!$C$9,Referenz!$A$26:$A$28,0)),1)*IFERROR(INDEX(Referenz!$B$30:$B$33,MATCH(Start!$C$7,Referenz!$A$30:$A$33,0)),1)*Referenz!$B$34,0))),""))</f>
        <v/>
      </c>
      <c r="D62" s="22" t="str">
        <f aca="false">IF(Start!$C$7&lt;6,"",IFERROR(INDEX(Übungen!$F$6:$F$28,MATCH(IFERROR(INDEX(Referenz!$B$14:$H$21,MATCH($H$56,Referenz!$A$14:$A$21,0),5),""),Übungen!$A$6:$A$28,0)),""))</f>
        <v/>
      </c>
      <c r="E62" s="22" t="str">
        <f aca="false">IF(Start!$C$7&lt;6,"","1 – 3")</f>
        <v/>
      </c>
      <c r="F62" s="23" t="str">
        <f aca="false">IF(Start!$C$7&lt;6,"",IFERROR(INDEX(Übungen!$H$6:$H$28,MATCH(IFERROR(INDEX(Referenz!$B$14:$H$21,MATCH($H$56,Referenz!$A$14:$A$21,0),5),""),Übungen!$A$6:$A$28,0)),""))</f>
        <v/>
      </c>
      <c r="G62" s="24" t="str">
        <f aca="false">IF(Start!$C$7&lt;6,"",IFERROR(INDEX(Übungen!$C$6:$C$28,MATCH(IFERROR(INDEX(Referenz!$B$14:$H$21,MATCH($H$56,Referenz!$A$14:$A$21,0),5),""),Übungen!$A$6:$A$28,0))&amp;"",""))</f>
        <v/>
      </c>
    </row>
    <row r="63" customFormat="false" ht="15" hidden="false" customHeight="false" outlineLevel="0" collapsed="false">
      <c r="A63" s="21" t="str">
        <f aca="false">IF(Start!$C$7&lt;6,"",IFERROR(IF(Start!$C$8="Vollausstattung",IFERROR(INDEX(Referenz!$B$14:$H$21,MATCH($H$56,Referenz!$A$14:$A$21,0),6),""),INDEX(IF(Start!$C$8="Basic Gym",Übungen!$D$6:$D$28,Übungen!$E$6:$E$28),MATCH(IFERROR(INDEX(Referenz!$B$14:$H$21,MATCH($H$56,Referenz!$A$14:$A$21,0),6),""),Übungen!$A$6:$A$28,0))),""))</f>
        <v/>
      </c>
      <c r="B63" s="22" t="str">
        <f aca="false">IF(Start!$C$7&lt;6,"",IFERROR(INDEX(Übungen!$B$6:$B$28,MATCH(IFERROR(INDEX(Referenz!$B$14:$H$21,MATCH($H$56,Referenz!$A$14:$A$21,0),6),""),Übungen!$A$6:$A$28,0)),""))</f>
        <v/>
      </c>
      <c r="C63" s="22" t="str">
        <f aca="false">IF(Start!$C$7&lt;6,"",IFERROR(MIN(6,MAX(2,ROUND(INDEX(Übungen!$G$6:$G$28,MATCH(IFERROR(INDEX(Referenz!$B$14:$H$21,MATCH($H$56,Referenz!$A$14:$A$21,0),6),""),Übungen!$A$6:$A$28,0))*IFERROR(INDEX(Referenz!$B$26:$B$28,MATCH(Start!$C$9,Referenz!$A$26:$A$28,0)),1)*IFERROR(INDEX(Referenz!$B$30:$B$33,MATCH(Start!$C$7,Referenz!$A$30:$A$33,0)),1)*Referenz!$B$34,0))),""))</f>
        <v/>
      </c>
      <c r="D63" s="22" t="str">
        <f aca="false">IF(Start!$C$7&lt;6,"",IFERROR(INDEX(Übungen!$F$6:$F$28,MATCH(IFERROR(INDEX(Referenz!$B$14:$H$21,MATCH($H$56,Referenz!$A$14:$A$21,0),6),""),Übungen!$A$6:$A$28,0)),""))</f>
        <v/>
      </c>
      <c r="E63" s="22" t="str">
        <f aca="false">IF(Start!$C$7&lt;6,"","1 – 3")</f>
        <v/>
      </c>
      <c r="F63" s="23" t="str">
        <f aca="false">IF(Start!$C$7&lt;6,"",IFERROR(INDEX(Übungen!$H$6:$H$28,MATCH(IFERROR(INDEX(Referenz!$B$14:$H$21,MATCH($H$56,Referenz!$A$14:$A$21,0),6),""),Übungen!$A$6:$A$28,0)),""))</f>
        <v/>
      </c>
      <c r="G63" s="24" t="str">
        <f aca="false">IF(Start!$C$7&lt;6,"",IFERROR(INDEX(Übungen!$C$6:$C$28,MATCH(IFERROR(INDEX(Referenz!$B$14:$H$21,MATCH($H$56,Referenz!$A$14:$A$21,0),6),""),Übungen!$A$6:$A$28,0))&amp;"",""))</f>
        <v/>
      </c>
    </row>
    <row r="64" customFormat="false" ht="15" hidden="false" customHeight="false" outlineLevel="0" collapsed="false">
      <c r="A64" s="21" t="str">
        <f aca="false">IF(Start!$C$7&lt;6,"",IFERROR(IF(Start!$C$8="Vollausstattung",IFERROR(INDEX(Referenz!$B$14:$H$21,MATCH($H$56,Referenz!$A$14:$A$21,0),7),""),INDEX(IF(Start!$C$8="Basic Gym",Übungen!$D$6:$D$28,Übungen!$E$6:$E$28),MATCH(IFERROR(INDEX(Referenz!$B$14:$H$21,MATCH($H$56,Referenz!$A$14:$A$21,0),7),""),Übungen!$A$6:$A$28,0))),""))</f>
        <v/>
      </c>
      <c r="B64" s="22" t="str">
        <f aca="false">IF(Start!$C$7&lt;6,"",IFERROR(INDEX(Übungen!$B$6:$B$28,MATCH(IFERROR(INDEX(Referenz!$B$14:$H$21,MATCH($H$56,Referenz!$A$14:$A$21,0),7),""),Übungen!$A$6:$A$28,0)),""))</f>
        <v/>
      </c>
      <c r="C64" s="22" t="str">
        <f aca="false">IF(Start!$C$7&lt;6,"",IFERROR(MIN(6,MAX(2,ROUND(INDEX(Übungen!$G$6:$G$28,MATCH(IFERROR(INDEX(Referenz!$B$14:$H$21,MATCH($H$56,Referenz!$A$14:$A$21,0),7),""),Übungen!$A$6:$A$28,0))*IFERROR(INDEX(Referenz!$B$26:$B$28,MATCH(Start!$C$9,Referenz!$A$26:$A$28,0)),1)*IFERROR(INDEX(Referenz!$B$30:$B$33,MATCH(Start!$C$7,Referenz!$A$30:$A$33,0)),1)*Referenz!$B$34,0))),""))</f>
        <v/>
      </c>
      <c r="D64" s="22" t="str">
        <f aca="false">IF(Start!$C$7&lt;6,"",IFERROR(INDEX(Übungen!$F$6:$F$28,MATCH(IFERROR(INDEX(Referenz!$B$14:$H$21,MATCH($H$56,Referenz!$A$14:$A$21,0),7),""),Übungen!$A$6:$A$28,0)),""))</f>
        <v/>
      </c>
      <c r="E64" s="22" t="str">
        <f aca="false">IF(Start!$C$7&lt;6,"","1 – 3")</f>
        <v/>
      </c>
      <c r="F64" s="23" t="str">
        <f aca="false">IF(Start!$C$7&lt;6,"",IFERROR(INDEX(Übungen!$H$6:$H$28,MATCH(IFERROR(INDEX(Referenz!$B$14:$H$21,MATCH($H$56,Referenz!$A$14:$A$21,0),7),""),Übungen!$A$6:$A$28,0)),""))</f>
        <v/>
      </c>
      <c r="G64" s="24" t="str">
        <f aca="false">IF(Start!$C$7&lt;6,"",IFERROR(INDEX(Übungen!$C$6:$C$28,MATCH(IFERROR(INDEX(Referenz!$B$14:$H$21,MATCH($H$56,Referenz!$A$14:$A$21,0),7),""),Übungen!$A$6:$A$28,0))&amp;"",""))</f>
        <v/>
      </c>
    </row>
    <row r="66" customFormat="false" ht="15" hidden="false" customHeight="false" outlineLevel="0" collapsed="false">
      <c r="A66" s="14" t="s">
        <v>26</v>
      </c>
    </row>
    <row r="67" customFormat="false" ht="15" hidden="false" customHeight="false" outlineLevel="0" collapsed="false">
      <c r="A67" s="25" t="s">
        <v>27</v>
      </c>
    </row>
    <row r="69" customFormat="false" ht="15" hidden="false" customHeight="false" outlineLevel="0" collapsed="false">
      <c r="A69" s="15" t="s">
        <v>23</v>
      </c>
      <c r="B69" s="16"/>
      <c r="C69" s="16"/>
      <c r="D69" s="16"/>
      <c r="E69" s="16"/>
      <c r="F69" s="16"/>
      <c r="G69" s="16"/>
      <c r="H69" s="16"/>
    </row>
  </sheetData>
  <sheetProtection sheet="true" formatCells="false" selectLockedCells="true" selectUnlockedCells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sheetProtection sheet="true" formatCells="false" selectLockedCells="true" selectUnlockedCells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16"/>
    <col collapsed="false" customWidth="true" hidden="false" outlineLevel="0" max="3" min="3" style="0" width="14"/>
    <col collapsed="false" customWidth="true" hidden="false" outlineLevel="0" max="5" min="4" style="0" width="30"/>
    <col collapsed="false" customWidth="true" hidden="false" outlineLevel="0" max="7" min="6" style="0" width="12"/>
    <col collapsed="false" customWidth="true" hidden="false" outlineLevel="0" max="8" min="8" style="0" width="46"/>
  </cols>
  <sheetData>
    <row r="1" customFormat="false" ht="25.5" hidden="false" customHeight="true" outlineLevel="0" collapsed="false">
      <c r="A1" s="1" t="s">
        <v>28</v>
      </c>
      <c r="B1" s="2"/>
      <c r="C1" s="2"/>
      <c r="D1" s="2"/>
      <c r="E1" s="2"/>
      <c r="F1" s="2"/>
      <c r="G1" s="2"/>
      <c r="H1" s="2"/>
    </row>
    <row r="2" customFormat="false" ht="15.75" hidden="false" customHeight="true" outlineLevel="0" collapsed="false">
      <c r="A2" s="3" t="s">
        <v>29</v>
      </c>
      <c r="B2" s="2"/>
      <c r="C2" s="2"/>
      <c r="D2" s="2"/>
      <c r="E2" s="2"/>
      <c r="F2" s="2"/>
      <c r="G2" s="2"/>
      <c r="H2" s="2"/>
    </row>
    <row r="5" customFormat="false" ht="15" hidden="false" customHeight="false" outlineLevel="0" collapsed="false">
      <c r="A5" s="26" t="s">
        <v>30</v>
      </c>
      <c r="B5" s="26" t="s">
        <v>31</v>
      </c>
      <c r="C5" s="26" t="s">
        <v>32</v>
      </c>
      <c r="D5" s="26" t="s">
        <v>33</v>
      </c>
      <c r="E5" s="26" t="s">
        <v>34</v>
      </c>
      <c r="F5" s="26" t="s">
        <v>35</v>
      </c>
      <c r="G5" s="26" t="s">
        <v>36</v>
      </c>
      <c r="H5" s="26" t="s">
        <v>37</v>
      </c>
    </row>
    <row r="6" customFormat="false" ht="15" hidden="false" customHeight="false" outlineLevel="0" collapsed="false">
      <c r="A6" s="23" t="s">
        <v>38</v>
      </c>
      <c r="B6" s="23" t="s">
        <v>39</v>
      </c>
      <c r="C6" s="22" t="s">
        <v>40</v>
      </c>
      <c r="D6" s="23" t="s">
        <v>41</v>
      </c>
      <c r="E6" s="23" t="s">
        <v>41</v>
      </c>
      <c r="F6" s="22" t="s">
        <v>42</v>
      </c>
      <c r="G6" s="22" t="n">
        <v>3</v>
      </c>
      <c r="H6" s="23" t="s">
        <v>43</v>
      </c>
    </row>
    <row r="7" customFormat="false" ht="15" hidden="false" customHeight="false" outlineLevel="0" collapsed="false">
      <c r="A7" s="23" t="s">
        <v>44</v>
      </c>
      <c r="B7" s="23" t="s">
        <v>39</v>
      </c>
      <c r="C7" s="22" t="s">
        <v>40</v>
      </c>
      <c r="D7" s="23" t="s">
        <v>44</v>
      </c>
      <c r="E7" s="23" t="s">
        <v>44</v>
      </c>
      <c r="F7" s="22" t="s">
        <v>45</v>
      </c>
      <c r="G7" s="22" t="n">
        <v>3</v>
      </c>
      <c r="H7" s="23" t="s">
        <v>46</v>
      </c>
    </row>
    <row r="8" customFormat="false" ht="15" hidden="false" customHeight="false" outlineLevel="0" collapsed="false">
      <c r="A8" s="23" t="s">
        <v>47</v>
      </c>
      <c r="B8" s="23" t="s">
        <v>39</v>
      </c>
      <c r="C8" s="22"/>
      <c r="D8" s="23" t="s">
        <v>48</v>
      </c>
      <c r="E8" s="23" t="s">
        <v>48</v>
      </c>
      <c r="F8" s="22" t="s">
        <v>49</v>
      </c>
      <c r="G8" s="22" t="n">
        <v>3</v>
      </c>
      <c r="H8" s="23" t="s">
        <v>50</v>
      </c>
    </row>
    <row r="9" customFormat="false" ht="15" hidden="false" customHeight="false" outlineLevel="0" collapsed="false">
      <c r="A9" s="23" t="s">
        <v>51</v>
      </c>
      <c r="B9" s="23" t="s">
        <v>52</v>
      </c>
      <c r="C9" s="22" t="s">
        <v>53</v>
      </c>
      <c r="D9" s="23" t="s">
        <v>51</v>
      </c>
      <c r="E9" s="23" t="s">
        <v>51</v>
      </c>
      <c r="F9" s="22" t="s">
        <v>54</v>
      </c>
      <c r="G9" s="22" t="n">
        <v>3</v>
      </c>
      <c r="H9" s="23" t="s">
        <v>55</v>
      </c>
    </row>
    <row r="10" customFormat="false" ht="15" hidden="false" customHeight="false" outlineLevel="0" collapsed="false">
      <c r="A10" s="23" t="s">
        <v>56</v>
      </c>
      <c r="B10" s="23" t="s">
        <v>52</v>
      </c>
      <c r="C10" s="22" t="s">
        <v>53</v>
      </c>
      <c r="D10" s="23" t="s">
        <v>57</v>
      </c>
      <c r="E10" s="23" t="s">
        <v>57</v>
      </c>
      <c r="F10" s="22" t="s">
        <v>54</v>
      </c>
      <c r="G10" s="22" t="n">
        <v>3</v>
      </c>
      <c r="H10" s="23" t="s">
        <v>58</v>
      </c>
    </row>
    <row r="11" customFormat="false" ht="15" hidden="false" customHeight="false" outlineLevel="0" collapsed="false">
      <c r="A11" s="23" t="s">
        <v>59</v>
      </c>
      <c r="B11" s="23" t="s">
        <v>52</v>
      </c>
      <c r="C11" s="22" t="s">
        <v>53</v>
      </c>
      <c r="D11" s="23" t="s">
        <v>60</v>
      </c>
      <c r="E11" s="23" t="s">
        <v>60</v>
      </c>
      <c r="F11" s="22" t="s">
        <v>45</v>
      </c>
      <c r="G11" s="22" t="n">
        <v>3</v>
      </c>
      <c r="H11" s="23" t="s">
        <v>61</v>
      </c>
    </row>
    <row r="12" customFormat="false" ht="15" hidden="false" customHeight="false" outlineLevel="0" collapsed="false">
      <c r="A12" s="23" t="s">
        <v>62</v>
      </c>
      <c r="B12" s="23" t="s">
        <v>52</v>
      </c>
      <c r="C12" s="22" t="s">
        <v>53</v>
      </c>
      <c r="D12" s="23" t="s">
        <v>63</v>
      </c>
      <c r="E12" s="23" t="s">
        <v>63</v>
      </c>
      <c r="F12" s="22" t="s">
        <v>64</v>
      </c>
      <c r="G12" s="22" t="n">
        <v>3</v>
      </c>
      <c r="H12" s="23" t="s">
        <v>65</v>
      </c>
    </row>
    <row r="13" customFormat="false" ht="15" hidden="false" customHeight="false" outlineLevel="0" collapsed="false">
      <c r="A13" s="23" t="s">
        <v>66</v>
      </c>
      <c r="B13" s="23" t="s">
        <v>67</v>
      </c>
      <c r="C13" s="22" t="s">
        <v>40</v>
      </c>
      <c r="D13" s="23" t="s">
        <v>66</v>
      </c>
      <c r="E13" s="23" t="s">
        <v>66</v>
      </c>
      <c r="F13" s="22" t="s">
        <v>45</v>
      </c>
      <c r="G13" s="22" t="n">
        <v>3</v>
      </c>
      <c r="H13" s="23" t="s">
        <v>68</v>
      </c>
    </row>
    <row r="14" customFormat="false" ht="15" hidden="false" customHeight="false" outlineLevel="0" collapsed="false">
      <c r="A14" s="23" t="s">
        <v>69</v>
      </c>
      <c r="B14" s="23" t="s">
        <v>67</v>
      </c>
      <c r="C14" s="22"/>
      <c r="D14" s="23" t="s">
        <v>69</v>
      </c>
      <c r="E14" s="23" t="s">
        <v>69</v>
      </c>
      <c r="F14" s="22" t="s">
        <v>70</v>
      </c>
      <c r="G14" s="22" t="n">
        <v>3</v>
      </c>
      <c r="H14" s="23" t="s">
        <v>71</v>
      </c>
    </row>
    <row r="15" customFormat="false" ht="15" hidden="false" customHeight="false" outlineLevel="0" collapsed="false">
      <c r="A15" s="23" t="s">
        <v>72</v>
      </c>
      <c r="B15" s="23" t="s">
        <v>67</v>
      </c>
      <c r="C15" s="22"/>
      <c r="D15" s="23" t="s">
        <v>73</v>
      </c>
      <c r="E15" s="23" t="s">
        <v>73</v>
      </c>
      <c r="F15" s="22" t="s">
        <v>74</v>
      </c>
      <c r="G15" s="22" t="n">
        <v>3</v>
      </c>
      <c r="H15" s="23" t="s">
        <v>75</v>
      </c>
    </row>
    <row r="16" customFormat="false" ht="15" hidden="false" customHeight="false" outlineLevel="0" collapsed="false">
      <c r="A16" s="23" t="s">
        <v>76</v>
      </c>
      <c r="B16" s="23" t="s">
        <v>53</v>
      </c>
      <c r="C16" s="22"/>
      <c r="D16" s="23" t="s">
        <v>77</v>
      </c>
      <c r="E16" s="23" t="s">
        <v>77</v>
      </c>
      <c r="F16" s="22" t="s">
        <v>45</v>
      </c>
      <c r="G16" s="22" t="n">
        <v>3</v>
      </c>
      <c r="H16" s="23" t="s">
        <v>78</v>
      </c>
    </row>
    <row r="17" customFormat="false" ht="15" hidden="false" customHeight="false" outlineLevel="0" collapsed="false">
      <c r="A17" s="23" t="s">
        <v>79</v>
      </c>
      <c r="B17" s="23" t="s">
        <v>53</v>
      </c>
      <c r="C17" s="22"/>
      <c r="D17" s="23" t="s">
        <v>79</v>
      </c>
      <c r="E17" s="23" t="s">
        <v>79</v>
      </c>
      <c r="F17" s="22" t="s">
        <v>64</v>
      </c>
      <c r="G17" s="22" t="n">
        <v>3</v>
      </c>
      <c r="H17" s="23" t="s">
        <v>80</v>
      </c>
    </row>
    <row r="18" customFormat="false" ht="15" hidden="false" customHeight="false" outlineLevel="0" collapsed="false">
      <c r="A18" s="23" t="s">
        <v>81</v>
      </c>
      <c r="B18" s="23" t="s">
        <v>40</v>
      </c>
      <c r="C18" s="22"/>
      <c r="D18" s="23" t="s">
        <v>82</v>
      </c>
      <c r="E18" s="23" t="s">
        <v>82</v>
      </c>
      <c r="F18" s="22" t="s">
        <v>83</v>
      </c>
      <c r="G18" s="22" t="n">
        <v>3</v>
      </c>
      <c r="H18" s="23" t="s">
        <v>84</v>
      </c>
    </row>
    <row r="19" customFormat="false" ht="15" hidden="false" customHeight="false" outlineLevel="0" collapsed="false">
      <c r="A19" s="23" t="s">
        <v>85</v>
      </c>
      <c r="B19" s="23" t="s">
        <v>40</v>
      </c>
      <c r="C19" s="22"/>
      <c r="D19" s="23" t="s">
        <v>86</v>
      </c>
      <c r="E19" s="23" t="s">
        <v>86</v>
      </c>
      <c r="F19" s="22" t="s">
        <v>64</v>
      </c>
      <c r="G19" s="22" t="n">
        <v>3</v>
      </c>
      <c r="H19" s="23" t="s">
        <v>87</v>
      </c>
    </row>
    <row r="20" customFormat="false" ht="15" hidden="false" customHeight="false" outlineLevel="0" collapsed="false">
      <c r="A20" s="23" t="s">
        <v>88</v>
      </c>
      <c r="B20" s="23" t="s">
        <v>89</v>
      </c>
      <c r="C20" s="22" t="s">
        <v>90</v>
      </c>
      <c r="D20" s="23" t="s">
        <v>88</v>
      </c>
      <c r="E20" s="23" t="s">
        <v>91</v>
      </c>
      <c r="F20" s="22" t="s">
        <v>42</v>
      </c>
      <c r="G20" s="22" t="n">
        <v>3</v>
      </c>
      <c r="H20" s="23" t="s">
        <v>92</v>
      </c>
    </row>
    <row r="21" customFormat="false" ht="15" hidden="false" customHeight="false" outlineLevel="0" collapsed="false">
      <c r="A21" s="23" t="s">
        <v>93</v>
      </c>
      <c r="B21" s="23" t="s">
        <v>89</v>
      </c>
      <c r="C21" s="22" t="s">
        <v>90</v>
      </c>
      <c r="D21" s="23" t="s">
        <v>94</v>
      </c>
      <c r="E21" s="23" t="s">
        <v>94</v>
      </c>
      <c r="F21" s="22" t="s">
        <v>83</v>
      </c>
      <c r="G21" s="22" t="n">
        <v>3</v>
      </c>
      <c r="H21" s="23" t="s">
        <v>95</v>
      </c>
    </row>
    <row r="22" customFormat="false" ht="15" hidden="false" customHeight="false" outlineLevel="0" collapsed="false">
      <c r="A22" s="23" t="s">
        <v>96</v>
      </c>
      <c r="B22" s="23" t="s">
        <v>89</v>
      </c>
      <c r="C22" s="22"/>
      <c r="D22" s="23" t="s">
        <v>97</v>
      </c>
      <c r="E22" s="23" t="s">
        <v>97</v>
      </c>
      <c r="F22" s="22" t="s">
        <v>49</v>
      </c>
      <c r="G22" s="22" t="n">
        <v>3</v>
      </c>
      <c r="H22" s="23" t="s">
        <v>98</v>
      </c>
    </row>
    <row r="23" customFormat="false" ht="15" hidden="false" customHeight="false" outlineLevel="0" collapsed="false">
      <c r="A23" s="23" t="s">
        <v>99</v>
      </c>
      <c r="B23" s="23" t="s">
        <v>100</v>
      </c>
      <c r="C23" s="22" t="s">
        <v>90</v>
      </c>
      <c r="D23" s="23" t="s">
        <v>101</v>
      </c>
      <c r="E23" s="23" t="s">
        <v>101</v>
      </c>
      <c r="F23" s="22" t="s">
        <v>102</v>
      </c>
      <c r="G23" s="22" t="n">
        <v>3</v>
      </c>
      <c r="H23" s="23" t="s">
        <v>103</v>
      </c>
    </row>
    <row r="24" customFormat="false" ht="15" hidden="false" customHeight="false" outlineLevel="0" collapsed="false">
      <c r="A24" s="23" t="s">
        <v>104</v>
      </c>
      <c r="B24" s="23" t="s">
        <v>100</v>
      </c>
      <c r="C24" s="22"/>
      <c r="D24" s="23" t="s">
        <v>105</v>
      </c>
      <c r="E24" s="23" t="s">
        <v>105</v>
      </c>
      <c r="F24" s="22" t="s">
        <v>83</v>
      </c>
      <c r="G24" s="22" t="n">
        <v>3</v>
      </c>
      <c r="H24" s="23" t="s">
        <v>106</v>
      </c>
    </row>
    <row r="25" customFormat="false" ht="15" hidden="false" customHeight="false" outlineLevel="0" collapsed="false">
      <c r="A25" s="23" t="s">
        <v>107</v>
      </c>
      <c r="B25" s="23" t="s">
        <v>90</v>
      </c>
      <c r="C25" s="22" t="s">
        <v>100</v>
      </c>
      <c r="D25" s="23" t="s">
        <v>108</v>
      </c>
      <c r="E25" s="23" t="s">
        <v>109</v>
      </c>
      <c r="F25" s="22" t="s">
        <v>45</v>
      </c>
      <c r="G25" s="22" t="n">
        <v>3</v>
      </c>
      <c r="H25" s="23" t="s">
        <v>110</v>
      </c>
    </row>
    <row r="26" customFormat="false" ht="15" hidden="false" customHeight="false" outlineLevel="0" collapsed="false">
      <c r="A26" s="23" t="s">
        <v>111</v>
      </c>
      <c r="B26" s="23" t="s">
        <v>112</v>
      </c>
      <c r="C26" s="22"/>
      <c r="D26" s="23" t="s">
        <v>113</v>
      </c>
      <c r="E26" s="23" t="s">
        <v>113</v>
      </c>
      <c r="F26" s="22" t="s">
        <v>70</v>
      </c>
      <c r="G26" s="22" t="n">
        <v>3</v>
      </c>
      <c r="H26" s="23" t="s">
        <v>114</v>
      </c>
    </row>
    <row r="27" customFormat="false" ht="15" hidden="false" customHeight="false" outlineLevel="0" collapsed="false">
      <c r="A27" s="23" t="s">
        <v>115</v>
      </c>
      <c r="B27" s="23" t="s">
        <v>116</v>
      </c>
      <c r="C27" s="22"/>
      <c r="D27" s="23" t="s">
        <v>117</v>
      </c>
      <c r="E27" s="23" t="s">
        <v>117</v>
      </c>
      <c r="F27" s="22" t="s">
        <v>70</v>
      </c>
      <c r="G27" s="22" t="n">
        <v>3</v>
      </c>
      <c r="H27" s="23" t="s">
        <v>118</v>
      </c>
    </row>
    <row r="28" customFormat="false" ht="15" hidden="false" customHeight="false" outlineLevel="0" collapsed="false">
      <c r="A28" s="23" t="s">
        <v>119</v>
      </c>
      <c r="B28" s="23" t="s">
        <v>116</v>
      </c>
      <c r="C28" s="22"/>
      <c r="D28" s="23" t="s">
        <v>119</v>
      </c>
      <c r="E28" s="23" t="s">
        <v>119</v>
      </c>
      <c r="F28" s="22" t="s">
        <v>120</v>
      </c>
      <c r="G28" s="22" t="n">
        <v>3</v>
      </c>
      <c r="H28" s="23" t="s">
        <v>121</v>
      </c>
    </row>
    <row r="30" customFormat="false" ht="15" hidden="false" customHeight="false" outlineLevel="0" collapsed="false">
      <c r="A30" s="25" t="s">
        <v>122</v>
      </c>
    </row>
    <row r="32" customFormat="false" ht="15" hidden="false" customHeight="false" outlineLevel="0" collapsed="false">
      <c r="A32" s="15" t="s">
        <v>23</v>
      </c>
      <c r="B32" s="16"/>
      <c r="C32" s="16"/>
      <c r="D32" s="16"/>
      <c r="E32" s="16"/>
      <c r="F32" s="16"/>
      <c r="G32" s="16"/>
      <c r="H32" s="16"/>
    </row>
  </sheetData>
  <sheetProtection sheet="true" formatCells="false" selectLockedCells="true" selectUnlockedCells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8" min="2" style="0" width="20"/>
  </cols>
  <sheetData>
    <row r="1" customFormat="false" ht="25.5" hidden="false" customHeight="true" outlineLevel="0" collapsed="false">
      <c r="A1" s="1" t="s">
        <v>123</v>
      </c>
      <c r="B1" s="2"/>
      <c r="C1" s="2"/>
      <c r="D1" s="2"/>
      <c r="E1" s="2"/>
      <c r="F1" s="2"/>
      <c r="G1" s="2"/>
      <c r="H1" s="2"/>
    </row>
    <row r="2" customFormat="false" ht="15.75" hidden="false" customHeight="true" outlineLevel="0" collapsed="false">
      <c r="A2" s="3" t="s">
        <v>124</v>
      </c>
      <c r="B2" s="2"/>
      <c r="C2" s="2"/>
      <c r="D2" s="2"/>
      <c r="E2" s="2"/>
      <c r="F2" s="2"/>
      <c r="G2" s="2"/>
      <c r="H2" s="2"/>
    </row>
    <row r="4" customFormat="false" ht="15" hidden="false" customHeight="false" outlineLevel="0" collapsed="false">
      <c r="A4" s="27" t="s">
        <v>125</v>
      </c>
    </row>
    <row r="5" customFormat="false" ht="15" hidden="false" customHeight="false" outlineLevel="0" collapsed="false">
      <c r="A5" s="28" t="s">
        <v>126</v>
      </c>
      <c r="B5" s="29" t="n">
        <v>1</v>
      </c>
      <c r="C5" s="29" t="n">
        <v>2</v>
      </c>
      <c r="D5" s="29" t="n">
        <v>3</v>
      </c>
      <c r="E5" s="29" t="n">
        <v>4</v>
      </c>
      <c r="F5" s="29" t="n">
        <v>5</v>
      </c>
      <c r="G5" s="29" t="n">
        <v>6</v>
      </c>
    </row>
    <row r="6" customFormat="false" ht="15" hidden="false" customHeight="false" outlineLevel="0" collapsed="false">
      <c r="A6" s="30" t="n">
        <v>3</v>
      </c>
      <c r="B6" s="22" t="s">
        <v>127</v>
      </c>
      <c r="C6" s="22" t="s">
        <v>128</v>
      </c>
      <c r="D6" s="22" t="s">
        <v>129</v>
      </c>
      <c r="E6" s="22"/>
      <c r="F6" s="22"/>
      <c r="G6" s="22"/>
    </row>
    <row r="7" customFormat="false" ht="15" hidden="false" customHeight="false" outlineLevel="0" collapsed="false">
      <c r="A7" s="30" t="n">
        <v>4</v>
      </c>
      <c r="B7" s="22" t="s">
        <v>130</v>
      </c>
      <c r="C7" s="22" t="s">
        <v>131</v>
      </c>
      <c r="D7" s="22" t="s">
        <v>130</v>
      </c>
      <c r="E7" s="22" t="s">
        <v>131</v>
      </c>
      <c r="F7" s="22"/>
      <c r="G7" s="22"/>
    </row>
    <row r="8" customFormat="false" ht="15" hidden="false" customHeight="false" outlineLevel="0" collapsed="false">
      <c r="A8" s="30" t="n">
        <v>5</v>
      </c>
      <c r="B8" s="22" t="s">
        <v>127</v>
      </c>
      <c r="C8" s="22" t="s">
        <v>128</v>
      </c>
      <c r="D8" s="22" t="s">
        <v>129</v>
      </c>
      <c r="E8" s="22" t="s">
        <v>130</v>
      </c>
      <c r="F8" s="22" t="s">
        <v>131</v>
      </c>
      <c r="G8" s="22"/>
    </row>
    <row r="9" customFormat="false" ht="15" hidden="false" customHeight="false" outlineLevel="0" collapsed="false">
      <c r="A9" s="30" t="n">
        <v>6</v>
      </c>
      <c r="B9" s="22" t="s">
        <v>127</v>
      </c>
      <c r="C9" s="22" t="s">
        <v>128</v>
      </c>
      <c r="D9" s="22" t="s">
        <v>129</v>
      </c>
      <c r="E9" s="22" t="s">
        <v>127</v>
      </c>
      <c r="F9" s="22" t="s">
        <v>128</v>
      </c>
      <c r="G9" s="22" t="s">
        <v>129</v>
      </c>
    </row>
    <row r="12" customFormat="false" ht="15" hidden="false" customHeight="false" outlineLevel="0" collapsed="false">
      <c r="A12" s="27" t="s">
        <v>132</v>
      </c>
    </row>
    <row r="13" customFormat="false" ht="15" hidden="false" customHeight="false" outlineLevel="0" collapsed="false">
      <c r="A13" s="31" t="s">
        <v>133</v>
      </c>
      <c r="B13" s="31" t="s">
        <v>134</v>
      </c>
      <c r="C13" s="31" t="s">
        <v>135</v>
      </c>
      <c r="D13" s="31" t="s">
        <v>136</v>
      </c>
      <c r="E13" s="31" t="s">
        <v>137</v>
      </c>
      <c r="F13" s="31" t="s">
        <v>138</v>
      </c>
      <c r="G13" s="31" t="s">
        <v>139</v>
      </c>
      <c r="H13" s="31" t="s">
        <v>140</v>
      </c>
    </row>
    <row r="14" customFormat="false" ht="15" hidden="false" customHeight="false" outlineLevel="0" collapsed="false">
      <c r="A14" s="32" t="s">
        <v>127</v>
      </c>
      <c r="B14" s="33" t="s">
        <v>38</v>
      </c>
      <c r="C14" s="33" t="s">
        <v>44</v>
      </c>
      <c r="D14" s="33" t="s">
        <v>47</v>
      </c>
      <c r="E14" s="33" t="s">
        <v>66</v>
      </c>
      <c r="F14" s="33" t="s">
        <v>69</v>
      </c>
      <c r="G14" s="33" t="s">
        <v>81</v>
      </c>
      <c r="H14" s="33" t="s">
        <v>85</v>
      </c>
    </row>
    <row r="15" customFormat="false" ht="15" hidden="false" customHeight="false" outlineLevel="0" collapsed="false">
      <c r="A15" s="32" t="s">
        <v>128</v>
      </c>
      <c r="B15" s="33" t="s">
        <v>51</v>
      </c>
      <c r="C15" s="33" t="s">
        <v>56</v>
      </c>
      <c r="D15" s="33" t="s">
        <v>59</v>
      </c>
      <c r="E15" s="33" t="s">
        <v>72</v>
      </c>
      <c r="F15" s="33" t="s">
        <v>76</v>
      </c>
      <c r="G15" s="33" t="s">
        <v>79</v>
      </c>
      <c r="H15" s="33" t="s">
        <v>115</v>
      </c>
    </row>
    <row r="16" customFormat="false" ht="15" hidden="false" customHeight="false" outlineLevel="0" collapsed="false">
      <c r="A16" s="32" t="s">
        <v>129</v>
      </c>
      <c r="B16" s="33" t="s">
        <v>88</v>
      </c>
      <c r="C16" s="33" t="s">
        <v>99</v>
      </c>
      <c r="D16" s="33" t="s">
        <v>93</v>
      </c>
      <c r="E16" s="33" t="s">
        <v>104</v>
      </c>
      <c r="F16" s="33" t="s">
        <v>96</v>
      </c>
      <c r="G16" s="33" t="s">
        <v>107</v>
      </c>
      <c r="H16" s="33" t="s">
        <v>111</v>
      </c>
    </row>
    <row r="17" customFormat="false" ht="15" hidden="false" customHeight="false" outlineLevel="0" collapsed="false">
      <c r="A17" s="32" t="s">
        <v>130</v>
      </c>
      <c r="B17" s="33" t="s">
        <v>38</v>
      </c>
      <c r="C17" s="33" t="s">
        <v>44</v>
      </c>
      <c r="D17" s="33" t="s">
        <v>56</v>
      </c>
      <c r="E17" s="33" t="s">
        <v>59</v>
      </c>
      <c r="F17" s="33" t="s">
        <v>69</v>
      </c>
      <c r="G17" s="33" t="s">
        <v>76</v>
      </c>
      <c r="H17" s="33" t="s">
        <v>81</v>
      </c>
    </row>
    <row r="18" customFormat="false" ht="15" hidden="false" customHeight="false" outlineLevel="0" collapsed="false">
      <c r="A18" s="32" t="s">
        <v>131</v>
      </c>
      <c r="B18" s="33" t="s">
        <v>88</v>
      </c>
      <c r="C18" s="33" t="s">
        <v>99</v>
      </c>
      <c r="D18" s="33" t="s">
        <v>93</v>
      </c>
      <c r="E18" s="33" t="s">
        <v>104</v>
      </c>
      <c r="F18" s="33" t="s">
        <v>107</v>
      </c>
      <c r="G18" s="33" t="s">
        <v>111</v>
      </c>
      <c r="H18" s="33" t="s">
        <v>115</v>
      </c>
    </row>
    <row r="19" customFormat="false" ht="15" hidden="false" customHeight="false" outlineLevel="0" collapsed="false">
      <c r="A19" s="32" t="s">
        <v>141</v>
      </c>
      <c r="B19" s="33" t="s">
        <v>88</v>
      </c>
      <c r="C19" s="33" t="s">
        <v>38</v>
      </c>
      <c r="D19" s="33" t="s">
        <v>56</v>
      </c>
      <c r="E19" s="33" t="s">
        <v>66</v>
      </c>
      <c r="F19" s="33" t="s">
        <v>104</v>
      </c>
      <c r="G19" s="33" t="s">
        <v>76</v>
      </c>
      <c r="H19" s="33" t="s">
        <v>111</v>
      </c>
    </row>
    <row r="20" customFormat="false" ht="15" hidden="false" customHeight="false" outlineLevel="0" collapsed="false">
      <c r="A20" s="32" t="s">
        <v>142</v>
      </c>
      <c r="B20" s="33" t="s">
        <v>99</v>
      </c>
      <c r="C20" s="33" t="s">
        <v>44</v>
      </c>
      <c r="D20" s="33" t="s">
        <v>51</v>
      </c>
      <c r="E20" s="33" t="s">
        <v>93</v>
      </c>
      <c r="F20" s="33" t="s">
        <v>69</v>
      </c>
      <c r="G20" s="33" t="s">
        <v>81</v>
      </c>
      <c r="H20" s="33" t="s">
        <v>115</v>
      </c>
    </row>
    <row r="21" customFormat="false" ht="15" hidden="false" customHeight="false" outlineLevel="0" collapsed="false">
      <c r="A21" s="32" t="s">
        <v>143</v>
      </c>
      <c r="B21" s="33" t="s">
        <v>107</v>
      </c>
      <c r="C21" s="33" t="s">
        <v>59</v>
      </c>
      <c r="D21" s="33" t="s">
        <v>47</v>
      </c>
      <c r="E21" s="33" t="s">
        <v>96</v>
      </c>
      <c r="F21" s="33" t="s">
        <v>62</v>
      </c>
      <c r="G21" s="33" t="s">
        <v>79</v>
      </c>
      <c r="H21" s="33" t="s">
        <v>72</v>
      </c>
    </row>
    <row r="24" customFormat="false" ht="15" hidden="false" customHeight="false" outlineLevel="0" collapsed="false">
      <c r="A24" s="27" t="s">
        <v>144</v>
      </c>
    </row>
    <row r="25" customFormat="false" ht="15" hidden="false" customHeight="false" outlineLevel="0" collapsed="false">
      <c r="A25" s="31" t="s">
        <v>9</v>
      </c>
      <c r="B25" s="6"/>
    </row>
    <row r="26" customFormat="false" ht="15" hidden="false" customHeight="false" outlineLevel="0" collapsed="false">
      <c r="A26" s="23" t="s">
        <v>145</v>
      </c>
      <c r="B26" s="34" t="n">
        <v>0.8</v>
      </c>
    </row>
    <row r="27" customFormat="false" ht="15" hidden="false" customHeight="false" outlineLevel="0" collapsed="false">
      <c r="A27" s="23" t="s">
        <v>10</v>
      </c>
      <c r="B27" s="34" t="n">
        <v>1</v>
      </c>
    </row>
    <row r="28" customFormat="false" ht="15" hidden="false" customHeight="false" outlineLevel="0" collapsed="false">
      <c r="A28" s="23" t="s">
        <v>146</v>
      </c>
      <c r="B28" s="34" t="n">
        <v>1.15</v>
      </c>
    </row>
    <row r="29" customFormat="false" ht="15" hidden="false" customHeight="false" outlineLevel="0" collapsed="false">
      <c r="A29" s="31" t="s">
        <v>147</v>
      </c>
      <c r="B29" s="6"/>
    </row>
    <row r="30" customFormat="false" ht="15" hidden="false" customHeight="false" outlineLevel="0" collapsed="false">
      <c r="A30" s="23" t="n">
        <v>3</v>
      </c>
      <c r="B30" s="34" t="n">
        <v>1.55</v>
      </c>
    </row>
    <row r="31" customFormat="false" ht="15" hidden="false" customHeight="false" outlineLevel="0" collapsed="false">
      <c r="A31" s="23" t="n">
        <v>4</v>
      </c>
      <c r="B31" s="34" t="n">
        <v>1.25</v>
      </c>
    </row>
    <row r="32" customFormat="false" ht="15" hidden="false" customHeight="false" outlineLevel="0" collapsed="false">
      <c r="A32" s="23" t="n">
        <v>5</v>
      </c>
      <c r="B32" s="34" t="n">
        <v>1.05</v>
      </c>
    </row>
    <row r="33" customFormat="false" ht="15" hidden="false" customHeight="false" outlineLevel="0" collapsed="false">
      <c r="A33" s="23" t="n">
        <v>6</v>
      </c>
      <c r="B33" s="34" t="n">
        <v>0.9</v>
      </c>
    </row>
    <row r="34" customFormat="false" ht="15" hidden="false" customHeight="false" outlineLevel="0" collapsed="false">
      <c r="A34" s="32" t="s">
        <v>148</v>
      </c>
      <c r="B34" s="35" t="n">
        <v>1</v>
      </c>
    </row>
    <row r="36" customFormat="false" ht="15" hidden="false" customHeight="false" outlineLevel="0" collapsed="false">
      <c r="A36" s="27" t="s">
        <v>149</v>
      </c>
    </row>
    <row r="37" customFormat="false" ht="15" hidden="false" customHeight="false" outlineLevel="0" collapsed="false">
      <c r="A37" s="36" t="s">
        <v>150</v>
      </c>
    </row>
    <row r="38" customFormat="false" ht="15" hidden="false" customHeight="false" outlineLevel="0" collapsed="false">
      <c r="A38" s="36" t="s">
        <v>151</v>
      </c>
    </row>
    <row r="39" customFormat="false" ht="15" hidden="false" customHeight="false" outlineLevel="0" collapsed="false">
      <c r="A39" s="36" t="s">
        <v>152</v>
      </c>
    </row>
    <row r="40" customFormat="false" ht="15" hidden="false" customHeight="false" outlineLevel="0" collapsed="false">
      <c r="A40" s="36" t="s">
        <v>153</v>
      </c>
    </row>
    <row r="41" customFormat="false" ht="15" hidden="false" customHeight="false" outlineLevel="0" collapsed="false">
      <c r="A41" s="36" t="s">
        <v>154</v>
      </c>
    </row>
    <row r="42" customFormat="false" ht="15" hidden="false" customHeight="false" outlineLevel="0" collapsed="false">
      <c r="A42" s="36" t="s">
        <v>155</v>
      </c>
    </row>
    <row r="45" customFormat="false" ht="15" hidden="false" customHeight="false" outlineLevel="0" collapsed="false">
      <c r="A45" s="15" t="s">
        <v>23</v>
      </c>
      <c r="B45" s="16"/>
      <c r="C45" s="16"/>
      <c r="D45" s="16"/>
      <c r="E45" s="16"/>
      <c r="F45" s="16"/>
      <c r="G45" s="16"/>
      <c r="H45" s="16"/>
    </row>
  </sheetData>
  <sheetProtection sheet="true" formatCells="false" selectLockedCells="true" selectUnlockedCells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13"/>
    <col collapsed="false" customWidth="true" hidden="false" outlineLevel="0" max="3" min="3" style="0" width="14"/>
    <col collapsed="false" customWidth="true" hidden="false" outlineLevel="0" max="4" min="4" style="0" width="32"/>
    <col collapsed="false" customWidth="true" hidden="false" outlineLevel="0" max="5" min="5" style="0" width="16"/>
    <col collapsed="false" customWidth="true" hidden="false" outlineLevel="0" max="6" min="6" style="0" width="14"/>
    <col collapsed="false" customWidth="true" hidden="false" outlineLevel="0" max="7" min="7" style="0" width="9"/>
    <col collapsed="false" customWidth="true" hidden="false" outlineLevel="0" max="8" min="8" style="0" width="13"/>
    <col collapsed="false" customWidth="true" hidden="false" outlineLevel="0" max="10" min="9" style="0" width="9"/>
  </cols>
  <sheetData>
    <row r="1" customFormat="false" ht="25.5" hidden="false" customHeight="true" outlineLevel="0" collapsed="false">
      <c r="A1" s="1" t="s">
        <v>156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15.75" hidden="false" customHeight="true" outlineLevel="0" collapsed="false">
      <c r="A2" s="3" t="s">
        <v>157</v>
      </c>
      <c r="B2" s="2"/>
      <c r="C2" s="2"/>
      <c r="D2" s="2"/>
      <c r="E2" s="2"/>
      <c r="F2" s="2"/>
      <c r="G2" s="2"/>
      <c r="H2" s="2"/>
      <c r="I2" s="2"/>
      <c r="J2" s="2"/>
    </row>
    <row r="4" customFormat="false" ht="15" hidden="false" customHeight="false" outlineLevel="0" collapsed="false">
      <c r="A4" s="14" t="s">
        <v>158</v>
      </c>
    </row>
    <row r="6" customFormat="false" ht="15" hidden="false" customHeight="false" outlineLevel="0" collapsed="false">
      <c r="A6" s="26" t="s">
        <v>159</v>
      </c>
      <c r="B6" s="26" t="s">
        <v>160</v>
      </c>
      <c r="C6" s="26" t="s">
        <v>161</v>
      </c>
      <c r="D6" s="26" t="s">
        <v>30</v>
      </c>
      <c r="E6" s="26" t="s">
        <v>31</v>
      </c>
      <c r="F6" s="26" t="s">
        <v>32</v>
      </c>
      <c r="G6" s="26" t="s">
        <v>162</v>
      </c>
      <c r="H6" s="26" t="s">
        <v>163</v>
      </c>
      <c r="I6" s="26" t="s">
        <v>35</v>
      </c>
      <c r="J6" s="26" t="s">
        <v>164</v>
      </c>
    </row>
    <row r="7" customFormat="false" ht="15" hidden="false" customHeight="false" outlineLevel="0" collapsed="false">
      <c r="A7" s="8" t="n">
        <v>1</v>
      </c>
      <c r="B7" s="37"/>
      <c r="C7" s="10" t="s">
        <v>13</v>
      </c>
      <c r="D7" s="10" t="s">
        <v>38</v>
      </c>
      <c r="E7" s="38" t="str">
        <f aca="false">IFERROR(INDEX(Übungen!$B$6:$B$28,MATCH($D7,Übungen!$A$6:$A$28,0))&amp;"","")</f>
        <v>Brust</v>
      </c>
      <c r="F7" s="38" t="str">
        <f aca="false">IFERROR(INDEX(Übungen!$C$6:$C$28,MATCH($D7,Übungen!$A$6:$A$28,0))&amp;"","")</f>
        <v>Trizeps</v>
      </c>
      <c r="G7" s="8" t="n">
        <v>3</v>
      </c>
      <c r="H7" s="39" t="n">
        <v>70</v>
      </c>
      <c r="I7" s="8" t="n">
        <v>8</v>
      </c>
      <c r="J7" s="8" t="n">
        <v>2</v>
      </c>
    </row>
    <row r="8" customFormat="false" ht="15" hidden="false" customHeight="false" outlineLevel="0" collapsed="false">
      <c r="A8" s="8"/>
      <c r="B8" s="37"/>
      <c r="C8" s="10"/>
      <c r="D8" s="10"/>
      <c r="E8" s="38" t="str">
        <f aca="false">IFERROR(INDEX(Übungen!$B$6:$B$28,MATCH($D8,Übungen!$A$6:$A$28,0))&amp;"","")</f>
        <v/>
      </c>
      <c r="F8" s="38" t="str">
        <f aca="false">IFERROR(INDEX(Übungen!$C$6:$C$28,MATCH($D8,Übungen!$A$6:$A$28,0))&amp;"","")</f>
        <v/>
      </c>
      <c r="G8" s="8"/>
      <c r="H8" s="39"/>
      <c r="I8" s="8"/>
      <c r="J8" s="8"/>
    </row>
    <row r="9" customFormat="false" ht="15" hidden="false" customHeight="false" outlineLevel="0" collapsed="false">
      <c r="A9" s="8"/>
      <c r="B9" s="37"/>
      <c r="C9" s="10"/>
      <c r="D9" s="10"/>
      <c r="E9" s="38" t="str">
        <f aca="false">IFERROR(INDEX(Übungen!$B$6:$B$28,MATCH($D9,Übungen!$A$6:$A$28,0))&amp;"","")</f>
        <v/>
      </c>
      <c r="F9" s="38" t="str">
        <f aca="false">IFERROR(INDEX(Übungen!$C$6:$C$28,MATCH($D9,Übungen!$A$6:$A$28,0))&amp;"","")</f>
        <v/>
      </c>
      <c r="G9" s="8"/>
      <c r="H9" s="39"/>
      <c r="I9" s="8"/>
      <c r="J9" s="8"/>
    </row>
    <row r="10" customFormat="false" ht="15" hidden="false" customHeight="false" outlineLevel="0" collapsed="false">
      <c r="A10" s="8"/>
      <c r="B10" s="37"/>
      <c r="C10" s="10"/>
      <c r="D10" s="10"/>
      <c r="E10" s="38" t="str">
        <f aca="false">IFERROR(INDEX(Übungen!$B$6:$B$28,MATCH($D10,Übungen!$A$6:$A$28,0))&amp;"","")</f>
        <v/>
      </c>
      <c r="F10" s="38" t="str">
        <f aca="false">IFERROR(INDEX(Übungen!$C$6:$C$28,MATCH($D10,Übungen!$A$6:$A$28,0))&amp;"","")</f>
        <v/>
      </c>
      <c r="G10" s="8"/>
      <c r="H10" s="39"/>
      <c r="I10" s="8"/>
      <c r="J10" s="8"/>
    </row>
    <row r="11" customFormat="false" ht="15" hidden="false" customHeight="false" outlineLevel="0" collapsed="false">
      <c r="A11" s="8"/>
      <c r="B11" s="37"/>
      <c r="C11" s="10"/>
      <c r="D11" s="10"/>
      <c r="E11" s="38" t="str">
        <f aca="false">IFERROR(INDEX(Übungen!$B$6:$B$28,MATCH($D11,Übungen!$A$6:$A$28,0))&amp;"","")</f>
        <v/>
      </c>
      <c r="F11" s="38" t="str">
        <f aca="false">IFERROR(INDEX(Übungen!$C$6:$C$28,MATCH($D11,Übungen!$A$6:$A$28,0))&amp;"","")</f>
        <v/>
      </c>
      <c r="G11" s="8"/>
      <c r="H11" s="39"/>
      <c r="I11" s="8"/>
      <c r="J11" s="8"/>
    </row>
    <row r="12" customFormat="false" ht="15" hidden="false" customHeight="false" outlineLevel="0" collapsed="false">
      <c r="A12" s="8"/>
      <c r="B12" s="37"/>
      <c r="C12" s="10"/>
      <c r="D12" s="10"/>
      <c r="E12" s="38" t="str">
        <f aca="false">IFERROR(INDEX(Übungen!$B$6:$B$28,MATCH($D12,Übungen!$A$6:$A$28,0))&amp;"","")</f>
        <v/>
      </c>
      <c r="F12" s="38" t="str">
        <f aca="false">IFERROR(INDEX(Übungen!$C$6:$C$28,MATCH($D12,Übungen!$A$6:$A$28,0))&amp;"","")</f>
        <v/>
      </c>
      <c r="G12" s="8"/>
      <c r="H12" s="39"/>
      <c r="I12" s="8"/>
      <c r="J12" s="8"/>
    </row>
    <row r="13" customFormat="false" ht="15" hidden="false" customHeight="false" outlineLevel="0" collapsed="false">
      <c r="A13" s="8"/>
      <c r="B13" s="37"/>
      <c r="C13" s="10"/>
      <c r="D13" s="10"/>
      <c r="E13" s="38" t="str">
        <f aca="false">IFERROR(INDEX(Übungen!$B$6:$B$28,MATCH($D13,Übungen!$A$6:$A$28,0))&amp;"","")</f>
        <v/>
      </c>
      <c r="F13" s="38" t="str">
        <f aca="false">IFERROR(INDEX(Übungen!$C$6:$C$28,MATCH($D13,Übungen!$A$6:$A$28,0))&amp;"","")</f>
        <v/>
      </c>
      <c r="G13" s="8"/>
      <c r="H13" s="39"/>
      <c r="I13" s="8"/>
      <c r="J13" s="8"/>
    </row>
    <row r="14" customFormat="false" ht="15" hidden="false" customHeight="false" outlineLevel="0" collapsed="false">
      <c r="A14" s="8"/>
      <c r="B14" s="37"/>
      <c r="C14" s="10"/>
      <c r="D14" s="10"/>
      <c r="E14" s="38" t="str">
        <f aca="false">IFERROR(INDEX(Übungen!$B$6:$B$28,MATCH($D14,Übungen!$A$6:$A$28,0))&amp;"","")</f>
        <v/>
      </c>
      <c r="F14" s="38" t="str">
        <f aca="false">IFERROR(INDEX(Übungen!$C$6:$C$28,MATCH($D14,Übungen!$A$6:$A$28,0))&amp;"","")</f>
        <v/>
      </c>
      <c r="G14" s="8"/>
      <c r="H14" s="39"/>
      <c r="I14" s="8"/>
      <c r="J14" s="8"/>
    </row>
    <row r="15" customFormat="false" ht="15" hidden="false" customHeight="false" outlineLevel="0" collapsed="false">
      <c r="A15" s="8"/>
      <c r="B15" s="37"/>
      <c r="C15" s="10"/>
      <c r="D15" s="10"/>
      <c r="E15" s="38" t="str">
        <f aca="false">IFERROR(INDEX(Übungen!$B$6:$B$28,MATCH($D15,Übungen!$A$6:$A$28,0))&amp;"","")</f>
        <v/>
      </c>
      <c r="F15" s="38" t="str">
        <f aca="false">IFERROR(INDEX(Übungen!$C$6:$C$28,MATCH($D15,Übungen!$A$6:$A$28,0))&amp;"","")</f>
        <v/>
      </c>
      <c r="G15" s="8"/>
      <c r="H15" s="39"/>
      <c r="I15" s="8"/>
      <c r="J15" s="8"/>
    </row>
    <row r="16" customFormat="false" ht="15" hidden="false" customHeight="false" outlineLevel="0" collapsed="false">
      <c r="A16" s="8"/>
      <c r="B16" s="37"/>
      <c r="C16" s="10"/>
      <c r="D16" s="10"/>
      <c r="E16" s="38" t="str">
        <f aca="false">IFERROR(INDEX(Übungen!$B$6:$B$28,MATCH($D16,Übungen!$A$6:$A$28,0))&amp;"","")</f>
        <v/>
      </c>
      <c r="F16" s="38" t="str">
        <f aca="false">IFERROR(INDEX(Übungen!$C$6:$C$28,MATCH($D16,Übungen!$A$6:$A$28,0))&amp;"","")</f>
        <v/>
      </c>
      <c r="G16" s="8"/>
      <c r="H16" s="39"/>
      <c r="I16" s="8"/>
      <c r="J16" s="8"/>
    </row>
    <row r="17" customFormat="false" ht="15" hidden="false" customHeight="false" outlineLevel="0" collapsed="false">
      <c r="A17" s="8"/>
      <c r="B17" s="37"/>
      <c r="C17" s="10"/>
      <c r="D17" s="10"/>
      <c r="E17" s="38" t="str">
        <f aca="false">IFERROR(INDEX(Übungen!$B$6:$B$28,MATCH($D17,Übungen!$A$6:$A$28,0))&amp;"","")</f>
        <v/>
      </c>
      <c r="F17" s="38" t="str">
        <f aca="false">IFERROR(INDEX(Übungen!$C$6:$C$28,MATCH($D17,Übungen!$A$6:$A$28,0))&amp;"","")</f>
        <v/>
      </c>
      <c r="G17" s="8"/>
      <c r="H17" s="39"/>
      <c r="I17" s="8"/>
      <c r="J17" s="8"/>
    </row>
    <row r="18" customFormat="false" ht="15" hidden="false" customHeight="false" outlineLevel="0" collapsed="false">
      <c r="A18" s="8"/>
      <c r="B18" s="37"/>
      <c r="C18" s="10"/>
      <c r="D18" s="10"/>
      <c r="E18" s="38" t="str">
        <f aca="false">IFERROR(INDEX(Übungen!$B$6:$B$28,MATCH($D18,Übungen!$A$6:$A$28,0))&amp;"","")</f>
        <v/>
      </c>
      <c r="F18" s="38" t="str">
        <f aca="false">IFERROR(INDEX(Übungen!$C$6:$C$28,MATCH($D18,Übungen!$A$6:$A$28,0))&amp;"","")</f>
        <v/>
      </c>
      <c r="G18" s="8"/>
      <c r="H18" s="39"/>
      <c r="I18" s="8"/>
      <c r="J18" s="8"/>
    </row>
    <row r="19" customFormat="false" ht="15" hidden="false" customHeight="false" outlineLevel="0" collapsed="false">
      <c r="A19" s="8"/>
      <c r="B19" s="37"/>
      <c r="C19" s="10"/>
      <c r="D19" s="10"/>
      <c r="E19" s="38" t="str">
        <f aca="false">IFERROR(INDEX(Übungen!$B$6:$B$28,MATCH($D19,Übungen!$A$6:$A$28,0))&amp;"","")</f>
        <v/>
      </c>
      <c r="F19" s="38" t="str">
        <f aca="false">IFERROR(INDEX(Übungen!$C$6:$C$28,MATCH($D19,Übungen!$A$6:$A$28,0))&amp;"","")</f>
        <v/>
      </c>
      <c r="G19" s="8"/>
      <c r="H19" s="39"/>
      <c r="I19" s="8"/>
      <c r="J19" s="8"/>
    </row>
    <row r="20" customFormat="false" ht="15" hidden="false" customHeight="false" outlineLevel="0" collapsed="false">
      <c r="A20" s="8"/>
      <c r="B20" s="37"/>
      <c r="C20" s="10"/>
      <c r="D20" s="10"/>
      <c r="E20" s="38" t="str">
        <f aca="false">IFERROR(INDEX(Übungen!$B$6:$B$28,MATCH($D20,Übungen!$A$6:$A$28,0))&amp;"","")</f>
        <v/>
      </c>
      <c r="F20" s="38" t="str">
        <f aca="false">IFERROR(INDEX(Übungen!$C$6:$C$28,MATCH($D20,Übungen!$A$6:$A$28,0))&amp;"","")</f>
        <v/>
      </c>
      <c r="G20" s="8"/>
      <c r="H20" s="39"/>
      <c r="I20" s="8"/>
      <c r="J20" s="8"/>
    </row>
    <row r="21" customFormat="false" ht="15" hidden="false" customHeight="false" outlineLevel="0" collapsed="false">
      <c r="A21" s="8"/>
      <c r="B21" s="37"/>
      <c r="C21" s="10"/>
      <c r="D21" s="10"/>
      <c r="E21" s="38" t="str">
        <f aca="false">IFERROR(INDEX(Übungen!$B$6:$B$28,MATCH($D21,Übungen!$A$6:$A$28,0))&amp;"","")</f>
        <v/>
      </c>
      <c r="F21" s="38" t="str">
        <f aca="false">IFERROR(INDEX(Übungen!$C$6:$C$28,MATCH($D21,Übungen!$A$6:$A$28,0))&amp;"","")</f>
        <v/>
      </c>
      <c r="G21" s="8"/>
      <c r="H21" s="39"/>
      <c r="I21" s="8"/>
      <c r="J21" s="8"/>
    </row>
    <row r="22" customFormat="false" ht="15" hidden="false" customHeight="false" outlineLevel="0" collapsed="false">
      <c r="A22" s="8"/>
      <c r="B22" s="37"/>
      <c r="C22" s="10"/>
      <c r="D22" s="10"/>
      <c r="E22" s="38" t="str">
        <f aca="false">IFERROR(INDEX(Übungen!$B$6:$B$28,MATCH($D22,Übungen!$A$6:$A$28,0))&amp;"","")</f>
        <v/>
      </c>
      <c r="F22" s="38" t="str">
        <f aca="false">IFERROR(INDEX(Übungen!$C$6:$C$28,MATCH($D22,Übungen!$A$6:$A$28,0))&amp;"","")</f>
        <v/>
      </c>
      <c r="G22" s="8"/>
      <c r="H22" s="39"/>
      <c r="I22" s="8"/>
      <c r="J22" s="8"/>
    </row>
    <row r="23" customFormat="false" ht="15" hidden="false" customHeight="false" outlineLevel="0" collapsed="false">
      <c r="A23" s="8"/>
      <c r="B23" s="37"/>
      <c r="C23" s="10"/>
      <c r="D23" s="10"/>
      <c r="E23" s="38" t="str">
        <f aca="false">IFERROR(INDEX(Übungen!$B$6:$B$28,MATCH($D23,Übungen!$A$6:$A$28,0))&amp;"","")</f>
        <v/>
      </c>
      <c r="F23" s="38" t="str">
        <f aca="false">IFERROR(INDEX(Übungen!$C$6:$C$28,MATCH($D23,Übungen!$A$6:$A$28,0))&amp;"","")</f>
        <v/>
      </c>
      <c r="G23" s="8"/>
      <c r="H23" s="39"/>
      <c r="I23" s="8"/>
      <c r="J23" s="8"/>
    </row>
    <row r="24" customFormat="false" ht="15" hidden="false" customHeight="false" outlineLevel="0" collapsed="false">
      <c r="A24" s="8"/>
      <c r="B24" s="37"/>
      <c r="C24" s="10"/>
      <c r="D24" s="10"/>
      <c r="E24" s="38" t="str">
        <f aca="false">IFERROR(INDEX(Übungen!$B$6:$B$28,MATCH($D24,Übungen!$A$6:$A$28,0))&amp;"","")</f>
        <v/>
      </c>
      <c r="F24" s="38" t="str">
        <f aca="false">IFERROR(INDEX(Übungen!$C$6:$C$28,MATCH($D24,Übungen!$A$6:$A$28,0))&amp;"","")</f>
        <v/>
      </c>
      <c r="G24" s="8"/>
      <c r="H24" s="39"/>
      <c r="I24" s="8"/>
      <c r="J24" s="8"/>
    </row>
    <row r="25" customFormat="false" ht="15" hidden="false" customHeight="false" outlineLevel="0" collapsed="false">
      <c r="A25" s="8"/>
      <c r="B25" s="37"/>
      <c r="C25" s="10"/>
      <c r="D25" s="10"/>
      <c r="E25" s="38" t="str">
        <f aca="false">IFERROR(INDEX(Übungen!$B$6:$B$28,MATCH($D25,Übungen!$A$6:$A$28,0))&amp;"","")</f>
        <v/>
      </c>
      <c r="F25" s="38" t="str">
        <f aca="false">IFERROR(INDEX(Übungen!$C$6:$C$28,MATCH($D25,Übungen!$A$6:$A$28,0))&amp;"","")</f>
        <v/>
      </c>
      <c r="G25" s="8"/>
      <c r="H25" s="39"/>
      <c r="I25" s="8"/>
      <c r="J25" s="8"/>
    </row>
    <row r="26" customFormat="false" ht="15" hidden="false" customHeight="false" outlineLevel="0" collapsed="false">
      <c r="A26" s="8"/>
      <c r="B26" s="37"/>
      <c r="C26" s="10"/>
      <c r="D26" s="10"/>
      <c r="E26" s="38" t="str">
        <f aca="false">IFERROR(INDEX(Übungen!$B$6:$B$28,MATCH($D26,Übungen!$A$6:$A$28,0))&amp;"","")</f>
        <v/>
      </c>
      <c r="F26" s="38" t="str">
        <f aca="false">IFERROR(INDEX(Übungen!$C$6:$C$28,MATCH($D26,Übungen!$A$6:$A$28,0))&amp;"","")</f>
        <v/>
      </c>
      <c r="G26" s="8"/>
      <c r="H26" s="39"/>
      <c r="I26" s="8"/>
      <c r="J26" s="8"/>
    </row>
    <row r="27" customFormat="false" ht="15" hidden="false" customHeight="false" outlineLevel="0" collapsed="false">
      <c r="A27" s="8"/>
      <c r="B27" s="37"/>
      <c r="C27" s="10"/>
      <c r="D27" s="10"/>
      <c r="E27" s="38" t="str">
        <f aca="false">IFERROR(INDEX(Übungen!$B$6:$B$28,MATCH($D27,Übungen!$A$6:$A$28,0))&amp;"","")</f>
        <v/>
      </c>
      <c r="F27" s="38" t="str">
        <f aca="false">IFERROR(INDEX(Übungen!$C$6:$C$28,MATCH($D27,Übungen!$A$6:$A$28,0))&amp;"","")</f>
        <v/>
      </c>
      <c r="G27" s="8"/>
      <c r="H27" s="39"/>
      <c r="I27" s="8"/>
      <c r="J27" s="8"/>
    </row>
    <row r="28" customFormat="false" ht="15" hidden="false" customHeight="false" outlineLevel="0" collapsed="false">
      <c r="A28" s="8"/>
      <c r="B28" s="37"/>
      <c r="C28" s="10"/>
      <c r="D28" s="10"/>
      <c r="E28" s="38" t="str">
        <f aca="false">IFERROR(INDEX(Übungen!$B$6:$B$28,MATCH($D28,Übungen!$A$6:$A$28,0))&amp;"","")</f>
        <v/>
      </c>
      <c r="F28" s="38" t="str">
        <f aca="false">IFERROR(INDEX(Übungen!$C$6:$C$28,MATCH($D28,Übungen!$A$6:$A$28,0))&amp;"","")</f>
        <v/>
      </c>
      <c r="G28" s="8"/>
      <c r="H28" s="39"/>
      <c r="I28" s="8"/>
      <c r="J28" s="8"/>
    </row>
    <row r="29" customFormat="false" ht="15" hidden="false" customHeight="false" outlineLevel="0" collapsed="false">
      <c r="A29" s="8"/>
      <c r="B29" s="37"/>
      <c r="C29" s="10"/>
      <c r="D29" s="10"/>
      <c r="E29" s="38" t="str">
        <f aca="false">IFERROR(INDEX(Übungen!$B$6:$B$28,MATCH($D29,Übungen!$A$6:$A$28,0))&amp;"","")</f>
        <v/>
      </c>
      <c r="F29" s="38" t="str">
        <f aca="false">IFERROR(INDEX(Übungen!$C$6:$C$28,MATCH($D29,Übungen!$A$6:$A$28,0))&amp;"","")</f>
        <v/>
      </c>
      <c r="G29" s="8"/>
      <c r="H29" s="39"/>
      <c r="I29" s="8"/>
      <c r="J29" s="8"/>
    </row>
    <row r="30" customFormat="false" ht="15" hidden="false" customHeight="false" outlineLevel="0" collapsed="false">
      <c r="A30" s="8"/>
      <c r="B30" s="37"/>
      <c r="C30" s="10"/>
      <c r="D30" s="10"/>
      <c r="E30" s="38" t="str">
        <f aca="false">IFERROR(INDEX(Übungen!$B$6:$B$28,MATCH($D30,Übungen!$A$6:$A$28,0))&amp;"","")</f>
        <v/>
      </c>
      <c r="F30" s="38" t="str">
        <f aca="false">IFERROR(INDEX(Übungen!$C$6:$C$28,MATCH($D30,Übungen!$A$6:$A$28,0))&amp;"","")</f>
        <v/>
      </c>
      <c r="G30" s="8"/>
      <c r="H30" s="39"/>
      <c r="I30" s="8"/>
      <c r="J30" s="8"/>
    </row>
    <row r="31" customFormat="false" ht="15" hidden="false" customHeight="false" outlineLevel="0" collapsed="false">
      <c r="A31" s="8"/>
      <c r="B31" s="37"/>
      <c r="C31" s="10"/>
      <c r="D31" s="10"/>
      <c r="E31" s="38" t="str">
        <f aca="false">IFERROR(INDEX(Übungen!$B$6:$B$28,MATCH($D31,Übungen!$A$6:$A$28,0))&amp;"","")</f>
        <v/>
      </c>
      <c r="F31" s="38" t="str">
        <f aca="false">IFERROR(INDEX(Übungen!$C$6:$C$28,MATCH($D31,Übungen!$A$6:$A$28,0))&amp;"","")</f>
        <v/>
      </c>
      <c r="G31" s="8"/>
      <c r="H31" s="39"/>
      <c r="I31" s="8"/>
      <c r="J31" s="8"/>
    </row>
    <row r="32" customFormat="false" ht="15" hidden="false" customHeight="false" outlineLevel="0" collapsed="false">
      <c r="A32" s="8"/>
      <c r="B32" s="37"/>
      <c r="C32" s="10"/>
      <c r="D32" s="10"/>
      <c r="E32" s="38" t="str">
        <f aca="false">IFERROR(INDEX(Übungen!$B$6:$B$28,MATCH($D32,Übungen!$A$6:$A$28,0))&amp;"","")</f>
        <v/>
      </c>
      <c r="F32" s="38" t="str">
        <f aca="false">IFERROR(INDEX(Übungen!$C$6:$C$28,MATCH($D32,Übungen!$A$6:$A$28,0))&amp;"","")</f>
        <v/>
      </c>
      <c r="G32" s="8"/>
      <c r="H32" s="39"/>
      <c r="I32" s="8"/>
      <c r="J32" s="8"/>
    </row>
    <row r="33" customFormat="false" ht="15" hidden="false" customHeight="false" outlineLevel="0" collapsed="false">
      <c r="A33" s="8"/>
      <c r="B33" s="37"/>
      <c r="C33" s="10"/>
      <c r="D33" s="10"/>
      <c r="E33" s="38" t="str">
        <f aca="false">IFERROR(INDEX(Übungen!$B$6:$B$28,MATCH($D33,Übungen!$A$6:$A$28,0))&amp;"","")</f>
        <v/>
      </c>
      <c r="F33" s="38" t="str">
        <f aca="false">IFERROR(INDEX(Übungen!$C$6:$C$28,MATCH($D33,Übungen!$A$6:$A$28,0))&amp;"","")</f>
        <v/>
      </c>
      <c r="G33" s="8"/>
      <c r="H33" s="39"/>
      <c r="I33" s="8"/>
      <c r="J33" s="8"/>
    </row>
    <row r="34" customFormat="false" ht="15" hidden="false" customHeight="false" outlineLevel="0" collapsed="false">
      <c r="A34" s="8"/>
      <c r="B34" s="37"/>
      <c r="C34" s="10"/>
      <c r="D34" s="10"/>
      <c r="E34" s="38" t="str">
        <f aca="false">IFERROR(INDEX(Übungen!$B$6:$B$28,MATCH($D34,Übungen!$A$6:$A$28,0))&amp;"","")</f>
        <v/>
      </c>
      <c r="F34" s="38" t="str">
        <f aca="false">IFERROR(INDEX(Übungen!$C$6:$C$28,MATCH($D34,Übungen!$A$6:$A$28,0))&amp;"","")</f>
        <v/>
      </c>
      <c r="G34" s="8"/>
      <c r="H34" s="39"/>
      <c r="I34" s="8"/>
      <c r="J34" s="8"/>
    </row>
    <row r="35" customFormat="false" ht="15" hidden="false" customHeight="false" outlineLevel="0" collapsed="false">
      <c r="A35" s="8"/>
      <c r="B35" s="37"/>
      <c r="C35" s="10"/>
      <c r="D35" s="10"/>
      <c r="E35" s="38" t="str">
        <f aca="false">IFERROR(INDEX(Übungen!$B$6:$B$28,MATCH($D35,Übungen!$A$6:$A$28,0))&amp;"","")</f>
        <v/>
      </c>
      <c r="F35" s="38" t="str">
        <f aca="false">IFERROR(INDEX(Übungen!$C$6:$C$28,MATCH($D35,Übungen!$A$6:$A$28,0))&amp;"","")</f>
        <v/>
      </c>
      <c r="G35" s="8"/>
      <c r="H35" s="39"/>
      <c r="I35" s="8"/>
      <c r="J35" s="8"/>
    </row>
    <row r="36" customFormat="false" ht="15" hidden="false" customHeight="false" outlineLevel="0" collapsed="false">
      <c r="A36" s="8"/>
      <c r="B36" s="37"/>
      <c r="C36" s="10"/>
      <c r="D36" s="10"/>
      <c r="E36" s="38" t="str">
        <f aca="false">IFERROR(INDEX(Übungen!$B$6:$B$28,MATCH($D36,Übungen!$A$6:$A$28,0))&amp;"","")</f>
        <v/>
      </c>
      <c r="F36" s="38" t="str">
        <f aca="false">IFERROR(INDEX(Übungen!$C$6:$C$28,MATCH($D36,Übungen!$A$6:$A$28,0))&amp;"","")</f>
        <v/>
      </c>
      <c r="G36" s="8"/>
      <c r="H36" s="39"/>
      <c r="I36" s="8"/>
      <c r="J36" s="8"/>
    </row>
    <row r="37" customFormat="false" ht="15" hidden="false" customHeight="false" outlineLevel="0" collapsed="false">
      <c r="A37" s="8"/>
      <c r="B37" s="37"/>
      <c r="C37" s="10"/>
      <c r="D37" s="10"/>
      <c r="E37" s="38" t="str">
        <f aca="false">IFERROR(INDEX(Übungen!$B$6:$B$28,MATCH($D37,Übungen!$A$6:$A$28,0))&amp;"","")</f>
        <v/>
      </c>
      <c r="F37" s="38" t="str">
        <f aca="false">IFERROR(INDEX(Übungen!$C$6:$C$28,MATCH($D37,Übungen!$A$6:$A$28,0))&amp;"","")</f>
        <v/>
      </c>
      <c r="G37" s="8"/>
      <c r="H37" s="39"/>
      <c r="I37" s="8"/>
      <c r="J37" s="8"/>
    </row>
    <row r="38" customFormat="false" ht="15" hidden="false" customHeight="false" outlineLevel="0" collapsed="false">
      <c r="A38" s="8"/>
      <c r="B38" s="37"/>
      <c r="C38" s="10"/>
      <c r="D38" s="10"/>
      <c r="E38" s="38" t="str">
        <f aca="false">IFERROR(INDEX(Übungen!$B$6:$B$28,MATCH($D38,Übungen!$A$6:$A$28,0))&amp;"","")</f>
        <v/>
      </c>
      <c r="F38" s="38" t="str">
        <f aca="false">IFERROR(INDEX(Übungen!$C$6:$C$28,MATCH($D38,Übungen!$A$6:$A$28,0))&amp;"","")</f>
        <v/>
      </c>
      <c r="G38" s="8"/>
      <c r="H38" s="39"/>
      <c r="I38" s="8"/>
      <c r="J38" s="8"/>
    </row>
    <row r="39" customFormat="false" ht="15" hidden="false" customHeight="false" outlineLevel="0" collapsed="false">
      <c r="A39" s="8"/>
      <c r="B39" s="37"/>
      <c r="C39" s="10"/>
      <c r="D39" s="10"/>
      <c r="E39" s="38" t="str">
        <f aca="false">IFERROR(INDEX(Übungen!$B$6:$B$28,MATCH($D39,Übungen!$A$6:$A$28,0))&amp;"","")</f>
        <v/>
      </c>
      <c r="F39" s="38" t="str">
        <f aca="false">IFERROR(INDEX(Übungen!$C$6:$C$28,MATCH($D39,Übungen!$A$6:$A$28,0))&amp;"","")</f>
        <v/>
      </c>
      <c r="G39" s="8"/>
      <c r="H39" s="39"/>
      <c r="I39" s="8"/>
      <c r="J39" s="8"/>
    </row>
    <row r="40" customFormat="false" ht="15" hidden="false" customHeight="false" outlineLevel="0" collapsed="false">
      <c r="A40" s="8"/>
      <c r="B40" s="37"/>
      <c r="C40" s="10"/>
      <c r="D40" s="10"/>
      <c r="E40" s="38" t="str">
        <f aca="false">IFERROR(INDEX(Übungen!$B$6:$B$28,MATCH($D40,Übungen!$A$6:$A$28,0))&amp;"","")</f>
        <v/>
      </c>
      <c r="F40" s="38" t="str">
        <f aca="false">IFERROR(INDEX(Übungen!$C$6:$C$28,MATCH($D40,Übungen!$A$6:$A$28,0))&amp;"","")</f>
        <v/>
      </c>
      <c r="G40" s="8"/>
      <c r="H40" s="39"/>
      <c r="I40" s="8"/>
      <c r="J40" s="8"/>
    </row>
    <row r="41" customFormat="false" ht="15" hidden="false" customHeight="false" outlineLevel="0" collapsed="false">
      <c r="A41" s="8"/>
      <c r="B41" s="37"/>
      <c r="C41" s="10"/>
      <c r="D41" s="10"/>
      <c r="E41" s="38" t="str">
        <f aca="false">IFERROR(INDEX(Übungen!$B$6:$B$28,MATCH($D41,Übungen!$A$6:$A$28,0))&amp;"","")</f>
        <v/>
      </c>
      <c r="F41" s="38" t="str">
        <f aca="false">IFERROR(INDEX(Übungen!$C$6:$C$28,MATCH($D41,Übungen!$A$6:$A$28,0))&amp;"","")</f>
        <v/>
      </c>
      <c r="G41" s="8"/>
      <c r="H41" s="39"/>
      <c r="I41" s="8"/>
      <c r="J41" s="8"/>
    </row>
    <row r="42" customFormat="false" ht="15" hidden="false" customHeight="false" outlineLevel="0" collapsed="false">
      <c r="A42" s="8"/>
      <c r="B42" s="37"/>
      <c r="C42" s="10"/>
      <c r="D42" s="10"/>
      <c r="E42" s="38" t="str">
        <f aca="false">IFERROR(INDEX(Übungen!$B$6:$B$28,MATCH($D42,Übungen!$A$6:$A$28,0))&amp;"","")</f>
        <v/>
      </c>
      <c r="F42" s="38" t="str">
        <f aca="false">IFERROR(INDEX(Übungen!$C$6:$C$28,MATCH($D42,Übungen!$A$6:$A$28,0))&amp;"","")</f>
        <v/>
      </c>
      <c r="G42" s="8"/>
      <c r="H42" s="39"/>
      <c r="I42" s="8"/>
      <c r="J42" s="8"/>
    </row>
    <row r="43" customFormat="false" ht="15" hidden="false" customHeight="false" outlineLevel="0" collapsed="false">
      <c r="A43" s="8"/>
      <c r="B43" s="37"/>
      <c r="C43" s="10"/>
      <c r="D43" s="10"/>
      <c r="E43" s="38" t="str">
        <f aca="false">IFERROR(INDEX(Übungen!$B$6:$B$28,MATCH($D43,Übungen!$A$6:$A$28,0))&amp;"","")</f>
        <v/>
      </c>
      <c r="F43" s="38" t="str">
        <f aca="false">IFERROR(INDEX(Übungen!$C$6:$C$28,MATCH($D43,Übungen!$A$6:$A$28,0))&amp;"","")</f>
        <v/>
      </c>
      <c r="G43" s="8"/>
      <c r="H43" s="39"/>
      <c r="I43" s="8"/>
      <c r="J43" s="8"/>
    </row>
    <row r="44" customFormat="false" ht="15" hidden="false" customHeight="false" outlineLevel="0" collapsed="false">
      <c r="A44" s="8"/>
      <c r="B44" s="37"/>
      <c r="C44" s="10"/>
      <c r="D44" s="10"/>
      <c r="E44" s="38" t="str">
        <f aca="false">IFERROR(INDEX(Übungen!$B$6:$B$28,MATCH($D44,Übungen!$A$6:$A$28,0))&amp;"","")</f>
        <v/>
      </c>
      <c r="F44" s="38" t="str">
        <f aca="false">IFERROR(INDEX(Übungen!$C$6:$C$28,MATCH($D44,Übungen!$A$6:$A$28,0))&amp;"","")</f>
        <v/>
      </c>
      <c r="G44" s="8"/>
      <c r="H44" s="39"/>
      <c r="I44" s="8"/>
      <c r="J44" s="8"/>
    </row>
    <row r="45" customFormat="false" ht="15" hidden="false" customHeight="false" outlineLevel="0" collapsed="false">
      <c r="A45" s="8"/>
      <c r="B45" s="37"/>
      <c r="C45" s="10"/>
      <c r="D45" s="10"/>
      <c r="E45" s="38" t="str">
        <f aca="false">IFERROR(INDEX(Übungen!$B$6:$B$28,MATCH($D45,Übungen!$A$6:$A$28,0))&amp;"","")</f>
        <v/>
      </c>
      <c r="F45" s="38" t="str">
        <f aca="false">IFERROR(INDEX(Übungen!$C$6:$C$28,MATCH($D45,Übungen!$A$6:$A$28,0))&amp;"","")</f>
        <v/>
      </c>
      <c r="G45" s="8"/>
      <c r="H45" s="39"/>
      <c r="I45" s="8"/>
      <c r="J45" s="8"/>
    </row>
    <row r="46" customFormat="false" ht="15" hidden="false" customHeight="false" outlineLevel="0" collapsed="false">
      <c r="A46" s="8"/>
      <c r="B46" s="37"/>
      <c r="C46" s="10"/>
      <c r="D46" s="10"/>
      <c r="E46" s="38" t="str">
        <f aca="false">IFERROR(INDEX(Übungen!$B$6:$B$28,MATCH($D46,Übungen!$A$6:$A$28,0))&amp;"","")</f>
        <v/>
      </c>
      <c r="F46" s="38" t="str">
        <f aca="false">IFERROR(INDEX(Übungen!$C$6:$C$28,MATCH($D46,Übungen!$A$6:$A$28,0))&amp;"","")</f>
        <v/>
      </c>
      <c r="G46" s="8"/>
      <c r="H46" s="39"/>
      <c r="I46" s="8"/>
      <c r="J46" s="8"/>
    </row>
    <row r="47" customFormat="false" ht="15" hidden="false" customHeight="false" outlineLevel="0" collapsed="false">
      <c r="A47" s="8"/>
      <c r="B47" s="37"/>
      <c r="C47" s="10"/>
      <c r="D47" s="10"/>
      <c r="E47" s="38" t="str">
        <f aca="false">IFERROR(INDEX(Übungen!$B$6:$B$28,MATCH($D47,Übungen!$A$6:$A$28,0))&amp;"","")</f>
        <v/>
      </c>
      <c r="F47" s="38" t="str">
        <f aca="false">IFERROR(INDEX(Übungen!$C$6:$C$28,MATCH($D47,Übungen!$A$6:$A$28,0))&amp;"","")</f>
        <v/>
      </c>
      <c r="G47" s="8"/>
      <c r="H47" s="39"/>
      <c r="I47" s="8"/>
      <c r="J47" s="8"/>
    </row>
    <row r="48" customFormat="false" ht="15" hidden="false" customHeight="false" outlineLevel="0" collapsed="false">
      <c r="A48" s="8"/>
      <c r="B48" s="37"/>
      <c r="C48" s="10"/>
      <c r="D48" s="10"/>
      <c r="E48" s="38" t="str">
        <f aca="false">IFERROR(INDEX(Übungen!$B$6:$B$28,MATCH($D48,Übungen!$A$6:$A$28,0))&amp;"","")</f>
        <v/>
      </c>
      <c r="F48" s="38" t="str">
        <f aca="false">IFERROR(INDEX(Übungen!$C$6:$C$28,MATCH($D48,Übungen!$A$6:$A$28,0))&amp;"","")</f>
        <v/>
      </c>
      <c r="G48" s="8"/>
      <c r="H48" s="39"/>
      <c r="I48" s="8"/>
      <c r="J48" s="8"/>
    </row>
    <row r="49" customFormat="false" ht="15" hidden="false" customHeight="false" outlineLevel="0" collapsed="false">
      <c r="A49" s="8"/>
      <c r="B49" s="37"/>
      <c r="C49" s="10"/>
      <c r="D49" s="10"/>
      <c r="E49" s="38" t="str">
        <f aca="false">IFERROR(INDEX(Übungen!$B$6:$B$28,MATCH($D49,Übungen!$A$6:$A$28,0))&amp;"","")</f>
        <v/>
      </c>
      <c r="F49" s="38" t="str">
        <f aca="false">IFERROR(INDEX(Übungen!$C$6:$C$28,MATCH($D49,Übungen!$A$6:$A$28,0))&amp;"","")</f>
        <v/>
      </c>
      <c r="G49" s="8"/>
      <c r="H49" s="39"/>
      <c r="I49" s="8"/>
      <c r="J49" s="8"/>
    </row>
    <row r="50" customFormat="false" ht="15" hidden="false" customHeight="false" outlineLevel="0" collapsed="false">
      <c r="A50" s="8"/>
      <c r="B50" s="37"/>
      <c r="C50" s="10"/>
      <c r="D50" s="10"/>
      <c r="E50" s="38" t="str">
        <f aca="false">IFERROR(INDEX(Übungen!$B$6:$B$28,MATCH($D50,Übungen!$A$6:$A$28,0))&amp;"","")</f>
        <v/>
      </c>
      <c r="F50" s="38" t="str">
        <f aca="false">IFERROR(INDEX(Übungen!$C$6:$C$28,MATCH($D50,Übungen!$A$6:$A$28,0))&amp;"","")</f>
        <v/>
      </c>
      <c r="G50" s="8"/>
      <c r="H50" s="39"/>
      <c r="I50" s="8"/>
      <c r="J50" s="8"/>
    </row>
    <row r="51" customFormat="false" ht="15" hidden="false" customHeight="false" outlineLevel="0" collapsed="false">
      <c r="A51" s="8"/>
      <c r="B51" s="37"/>
      <c r="C51" s="10"/>
      <c r="D51" s="10"/>
      <c r="E51" s="38" t="str">
        <f aca="false">IFERROR(INDEX(Übungen!$B$6:$B$28,MATCH($D51,Übungen!$A$6:$A$28,0))&amp;"","")</f>
        <v/>
      </c>
      <c r="F51" s="38" t="str">
        <f aca="false">IFERROR(INDEX(Übungen!$C$6:$C$28,MATCH($D51,Übungen!$A$6:$A$28,0))&amp;"","")</f>
        <v/>
      </c>
      <c r="G51" s="8"/>
      <c r="H51" s="39"/>
      <c r="I51" s="8"/>
      <c r="J51" s="8"/>
    </row>
    <row r="52" customFormat="false" ht="15" hidden="false" customHeight="false" outlineLevel="0" collapsed="false">
      <c r="A52" s="8"/>
      <c r="B52" s="37"/>
      <c r="C52" s="10"/>
      <c r="D52" s="10"/>
      <c r="E52" s="38" t="str">
        <f aca="false">IFERROR(INDEX(Übungen!$B$6:$B$28,MATCH($D52,Übungen!$A$6:$A$28,0))&amp;"","")</f>
        <v/>
      </c>
      <c r="F52" s="38" t="str">
        <f aca="false">IFERROR(INDEX(Übungen!$C$6:$C$28,MATCH($D52,Übungen!$A$6:$A$28,0))&amp;"","")</f>
        <v/>
      </c>
      <c r="G52" s="8"/>
      <c r="H52" s="39"/>
      <c r="I52" s="8"/>
      <c r="J52" s="8"/>
    </row>
    <row r="53" customFormat="false" ht="15" hidden="false" customHeight="false" outlineLevel="0" collapsed="false">
      <c r="A53" s="8"/>
      <c r="B53" s="37"/>
      <c r="C53" s="10"/>
      <c r="D53" s="10"/>
      <c r="E53" s="38" t="str">
        <f aca="false">IFERROR(INDEX(Übungen!$B$6:$B$28,MATCH($D53,Übungen!$A$6:$A$28,0))&amp;"","")</f>
        <v/>
      </c>
      <c r="F53" s="38" t="str">
        <f aca="false">IFERROR(INDEX(Übungen!$C$6:$C$28,MATCH($D53,Übungen!$A$6:$A$28,0))&amp;"","")</f>
        <v/>
      </c>
      <c r="G53" s="8"/>
      <c r="H53" s="39"/>
      <c r="I53" s="8"/>
      <c r="J53" s="8"/>
    </row>
    <row r="54" customFormat="false" ht="15" hidden="false" customHeight="false" outlineLevel="0" collapsed="false">
      <c r="A54" s="8"/>
      <c r="B54" s="37"/>
      <c r="C54" s="10"/>
      <c r="D54" s="10"/>
      <c r="E54" s="38" t="str">
        <f aca="false">IFERROR(INDEX(Übungen!$B$6:$B$28,MATCH($D54,Übungen!$A$6:$A$28,0))&amp;"","")</f>
        <v/>
      </c>
      <c r="F54" s="38" t="str">
        <f aca="false">IFERROR(INDEX(Übungen!$C$6:$C$28,MATCH($D54,Übungen!$A$6:$A$28,0))&amp;"","")</f>
        <v/>
      </c>
      <c r="G54" s="8"/>
      <c r="H54" s="39"/>
      <c r="I54" s="8"/>
      <c r="J54" s="8"/>
    </row>
    <row r="55" customFormat="false" ht="15" hidden="false" customHeight="false" outlineLevel="0" collapsed="false">
      <c r="A55" s="8"/>
      <c r="B55" s="37"/>
      <c r="C55" s="10"/>
      <c r="D55" s="10"/>
      <c r="E55" s="38" t="str">
        <f aca="false">IFERROR(INDEX(Übungen!$B$6:$B$28,MATCH($D55,Übungen!$A$6:$A$28,0))&amp;"","")</f>
        <v/>
      </c>
      <c r="F55" s="38" t="str">
        <f aca="false">IFERROR(INDEX(Übungen!$C$6:$C$28,MATCH($D55,Übungen!$A$6:$A$28,0))&amp;"","")</f>
        <v/>
      </c>
      <c r="G55" s="8"/>
      <c r="H55" s="39"/>
      <c r="I55" s="8"/>
      <c r="J55" s="8"/>
    </row>
    <row r="56" customFormat="false" ht="15" hidden="false" customHeight="false" outlineLevel="0" collapsed="false">
      <c r="A56" s="8"/>
      <c r="B56" s="37"/>
      <c r="C56" s="10"/>
      <c r="D56" s="10"/>
      <c r="E56" s="38" t="str">
        <f aca="false">IFERROR(INDEX(Übungen!$B$6:$B$28,MATCH($D56,Übungen!$A$6:$A$28,0))&amp;"","")</f>
        <v/>
      </c>
      <c r="F56" s="38" t="str">
        <f aca="false">IFERROR(INDEX(Übungen!$C$6:$C$28,MATCH($D56,Übungen!$A$6:$A$28,0))&amp;"","")</f>
        <v/>
      </c>
      <c r="G56" s="8"/>
      <c r="H56" s="39"/>
      <c r="I56" s="8"/>
      <c r="J56" s="8"/>
    </row>
    <row r="57" customFormat="false" ht="15" hidden="false" customHeight="false" outlineLevel="0" collapsed="false">
      <c r="A57" s="8"/>
      <c r="B57" s="37"/>
      <c r="C57" s="10"/>
      <c r="D57" s="10"/>
      <c r="E57" s="38" t="str">
        <f aca="false">IFERROR(INDEX(Übungen!$B$6:$B$28,MATCH($D57,Übungen!$A$6:$A$28,0))&amp;"","")</f>
        <v/>
      </c>
      <c r="F57" s="38" t="str">
        <f aca="false">IFERROR(INDEX(Übungen!$C$6:$C$28,MATCH($D57,Übungen!$A$6:$A$28,0))&amp;"","")</f>
        <v/>
      </c>
      <c r="G57" s="8"/>
      <c r="H57" s="39"/>
      <c r="I57" s="8"/>
      <c r="J57" s="8"/>
    </row>
    <row r="58" customFormat="false" ht="15" hidden="false" customHeight="false" outlineLevel="0" collapsed="false">
      <c r="A58" s="8"/>
      <c r="B58" s="37"/>
      <c r="C58" s="10"/>
      <c r="D58" s="10"/>
      <c r="E58" s="38" t="str">
        <f aca="false">IFERROR(INDEX(Übungen!$B$6:$B$28,MATCH($D58,Übungen!$A$6:$A$28,0))&amp;"","")</f>
        <v/>
      </c>
      <c r="F58" s="38" t="str">
        <f aca="false">IFERROR(INDEX(Übungen!$C$6:$C$28,MATCH($D58,Übungen!$A$6:$A$28,0))&amp;"","")</f>
        <v/>
      </c>
      <c r="G58" s="8"/>
      <c r="H58" s="39"/>
      <c r="I58" s="8"/>
      <c r="J58" s="8"/>
    </row>
    <row r="59" customFormat="false" ht="15" hidden="false" customHeight="false" outlineLevel="0" collapsed="false">
      <c r="A59" s="8"/>
      <c r="B59" s="37"/>
      <c r="C59" s="10"/>
      <c r="D59" s="10"/>
      <c r="E59" s="38" t="str">
        <f aca="false">IFERROR(INDEX(Übungen!$B$6:$B$28,MATCH($D59,Übungen!$A$6:$A$28,0))&amp;"","")</f>
        <v/>
      </c>
      <c r="F59" s="38" t="str">
        <f aca="false">IFERROR(INDEX(Übungen!$C$6:$C$28,MATCH($D59,Übungen!$A$6:$A$28,0))&amp;"","")</f>
        <v/>
      </c>
      <c r="G59" s="8"/>
      <c r="H59" s="39"/>
      <c r="I59" s="8"/>
      <c r="J59" s="8"/>
    </row>
    <row r="60" customFormat="false" ht="15" hidden="false" customHeight="false" outlineLevel="0" collapsed="false">
      <c r="A60" s="8"/>
      <c r="B60" s="37"/>
      <c r="C60" s="10"/>
      <c r="D60" s="10"/>
      <c r="E60" s="38" t="str">
        <f aca="false">IFERROR(INDEX(Übungen!$B$6:$B$28,MATCH($D60,Übungen!$A$6:$A$28,0))&amp;"","")</f>
        <v/>
      </c>
      <c r="F60" s="38" t="str">
        <f aca="false">IFERROR(INDEX(Übungen!$C$6:$C$28,MATCH($D60,Übungen!$A$6:$A$28,0))&amp;"","")</f>
        <v/>
      </c>
      <c r="G60" s="8"/>
      <c r="H60" s="39"/>
      <c r="I60" s="8"/>
      <c r="J60" s="8"/>
    </row>
    <row r="61" customFormat="false" ht="15" hidden="false" customHeight="false" outlineLevel="0" collapsed="false">
      <c r="A61" s="8"/>
      <c r="B61" s="37"/>
      <c r="C61" s="10"/>
      <c r="D61" s="10"/>
      <c r="E61" s="38" t="str">
        <f aca="false">IFERROR(INDEX(Übungen!$B$6:$B$28,MATCH($D61,Übungen!$A$6:$A$28,0))&amp;"","")</f>
        <v/>
      </c>
      <c r="F61" s="38" t="str">
        <f aca="false">IFERROR(INDEX(Übungen!$C$6:$C$28,MATCH($D61,Übungen!$A$6:$A$28,0))&amp;"","")</f>
        <v/>
      </c>
      <c r="G61" s="8"/>
      <c r="H61" s="39"/>
      <c r="I61" s="8"/>
      <c r="J61" s="8"/>
    </row>
    <row r="62" customFormat="false" ht="15" hidden="false" customHeight="false" outlineLevel="0" collapsed="false">
      <c r="A62" s="8"/>
      <c r="B62" s="37"/>
      <c r="C62" s="10"/>
      <c r="D62" s="10"/>
      <c r="E62" s="38" t="str">
        <f aca="false">IFERROR(INDEX(Übungen!$B$6:$B$28,MATCH($D62,Übungen!$A$6:$A$28,0))&amp;"","")</f>
        <v/>
      </c>
      <c r="F62" s="38" t="str">
        <f aca="false">IFERROR(INDEX(Übungen!$C$6:$C$28,MATCH($D62,Übungen!$A$6:$A$28,0))&amp;"","")</f>
        <v/>
      </c>
      <c r="G62" s="8"/>
      <c r="H62" s="39"/>
      <c r="I62" s="8"/>
      <c r="J62" s="8"/>
    </row>
    <row r="63" customFormat="false" ht="15" hidden="false" customHeight="false" outlineLevel="0" collapsed="false">
      <c r="A63" s="8"/>
      <c r="B63" s="37"/>
      <c r="C63" s="10"/>
      <c r="D63" s="10"/>
      <c r="E63" s="38" t="str">
        <f aca="false">IFERROR(INDEX(Übungen!$B$6:$B$28,MATCH($D63,Übungen!$A$6:$A$28,0))&amp;"","")</f>
        <v/>
      </c>
      <c r="F63" s="38" t="str">
        <f aca="false">IFERROR(INDEX(Übungen!$C$6:$C$28,MATCH($D63,Übungen!$A$6:$A$28,0))&amp;"","")</f>
        <v/>
      </c>
      <c r="G63" s="8"/>
      <c r="H63" s="39"/>
      <c r="I63" s="8"/>
      <c r="J63" s="8"/>
    </row>
    <row r="64" customFormat="false" ht="15" hidden="false" customHeight="false" outlineLevel="0" collapsed="false">
      <c r="A64" s="8"/>
      <c r="B64" s="37"/>
      <c r="C64" s="10"/>
      <c r="D64" s="10"/>
      <c r="E64" s="38" t="str">
        <f aca="false">IFERROR(INDEX(Übungen!$B$6:$B$28,MATCH($D64,Übungen!$A$6:$A$28,0))&amp;"","")</f>
        <v/>
      </c>
      <c r="F64" s="38" t="str">
        <f aca="false">IFERROR(INDEX(Übungen!$C$6:$C$28,MATCH($D64,Übungen!$A$6:$A$28,0))&amp;"","")</f>
        <v/>
      </c>
      <c r="G64" s="8"/>
      <c r="H64" s="39"/>
      <c r="I64" s="8"/>
      <c r="J64" s="8"/>
    </row>
    <row r="65" customFormat="false" ht="15" hidden="false" customHeight="false" outlineLevel="0" collapsed="false">
      <c r="A65" s="8"/>
      <c r="B65" s="37"/>
      <c r="C65" s="10"/>
      <c r="D65" s="10"/>
      <c r="E65" s="38" t="str">
        <f aca="false">IFERROR(INDEX(Übungen!$B$6:$B$28,MATCH($D65,Übungen!$A$6:$A$28,0))&amp;"","")</f>
        <v/>
      </c>
      <c r="F65" s="38" t="str">
        <f aca="false">IFERROR(INDEX(Übungen!$C$6:$C$28,MATCH($D65,Übungen!$A$6:$A$28,0))&amp;"","")</f>
        <v/>
      </c>
      <c r="G65" s="8"/>
      <c r="H65" s="39"/>
      <c r="I65" s="8"/>
      <c r="J65" s="8"/>
    </row>
    <row r="66" customFormat="false" ht="15" hidden="false" customHeight="false" outlineLevel="0" collapsed="false">
      <c r="A66" s="8"/>
      <c r="B66" s="37"/>
      <c r="C66" s="10"/>
      <c r="D66" s="10"/>
      <c r="E66" s="38" t="str">
        <f aca="false">IFERROR(INDEX(Übungen!$B$6:$B$28,MATCH($D66,Übungen!$A$6:$A$28,0))&amp;"","")</f>
        <v/>
      </c>
      <c r="F66" s="38" t="str">
        <f aca="false">IFERROR(INDEX(Übungen!$C$6:$C$28,MATCH($D66,Übungen!$A$6:$A$28,0))&amp;"","")</f>
        <v/>
      </c>
      <c r="G66" s="8"/>
      <c r="H66" s="39"/>
      <c r="I66" s="8"/>
      <c r="J66" s="8"/>
    </row>
    <row r="67" customFormat="false" ht="15" hidden="false" customHeight="false" outlineLevel="0" collapsed="false">
      <c r="A67" s="8"/>
      <c r="B67" s="37"/>
      <c r="C67" s="10"/>
      <c r="D67" s="10"/>
      <c r="E67" s="38" t="str">
        <f aca="false">IFERROR(INDEX(Übungen!$B$6:$B$28,MATCH($D67,Übungen!$A$6:$A$28,0))&amp;"","")</f>
        <v/>
      </c>
      <c r="F67" s="38" t="str">
        <f aca="false">IFERROR(INDEX(Übungen!$C$6:$C$28,MATCH($D67,Übungen!$A$6:$A$28,0))&amp;"","")</f>
        <v/>
      </c>
      <c r="G67" s="8"/>
      <c r="H67" s="39"/>
      <c r="I67" s="8"/>
      <c r="J67" s="8"/>
    </row>
    <row r="68" customFormat="false" ht="15" hidden="false" customHeight="false" outlineLevel="0" collapsed="false">
      <c r="A68" s="8"/>
      <c r="B68" s="37"/>
      <c r="C68" s="10"/>
      <c r="D68" s="10"/>
      <c r="E68" s="38" t="str">
        <f aca="false">IFERROR(INDEX(Übungen!$B$6:$B$28,MATCH($D68,Übungen!$A$6:$A$28,0))&amp;"","")</f>
        <v/>
      </c>
      <c r="F68" s="38" t="str">
        <f aca="false">IFERROR(INDEX(Übungen!$C$6:$C$28,MATCH($D68,Übungen!$A$6:$A$28,0))&amp;"","")</f>
        <v/>
      </c>
      <c r="G68" s="8"/>
      <c r="H68" s="39"/>
      <c r="I68" s="8"/>
      <c r="J68" s="8"/>
    </row>
    <row r="69" customFormat="false" ht="15" hidden="false" customHeight="false" outlineLevel="0" collapsed="false">
      <c r="A69" s="8"/>
      <c r="B69" s="37"/>
      <c r="C69" s="10"/>
      <c r="D69" s="10"/>
      <c r="E69" s="38" t="str">
        <f aca="false">IFERROR(INDEX(Übungen!$B$6:$B$28,MATCH($D69,Übungen!$A$6:$A$28,0))&amp;"","")</f>
        <v/>
      </c>
      <c r="F69" s="38" t="str">
        <f aca="false">IFERROR(INDEX(Übungen!$C$6:$C$28,MATCH($D69,Übungen!$A$6:$A$28,0))&amp;"","")</f>
        <v/>
      </c>
      <c r="G69" s="8"/>
      <c r="H69" s="39"/>
      <c r="I69" s="8"/>
      <c r="J69" s="8"/>
    </row>
    <row r="70" customFormat="false" ht="15" hidden="false" customHeight="false" outlineLevel="0" collapsed="false">
      <c r="A70" s="8"/>
      <c r="B70" s="37"/>
      <c r="C70" s="10"/>
      <c r="D70" s="10"/>
      <c r="E70" s="38" t="str">
        <f aca="false">IFERROR(INDEX(Übungen!$B$6:$B$28,MATCH($D70,Übungen!$A$6:$A$28,0))&amp;"","")</f>
        <v/>
      </c>
      <c r="F70" s="38" t="str">
        <f aca="false">IFERROR(INDEX(Übungen!$C$6:$C$28,MATCH($D70,Übungen!$A$6:$A$28,0))&amp;"","")</f>
        <v/>
      </c>
      <c r="G70" s="8"/>
      <c r="H70" s="39"/>
      <c r="I70" s="8"/>
      <c r="J70" s="8"/>
    </row>
    <row r="71" customFormat="false" ht="15" hidden="false" customHeight="false" outlineLevel="0" collapsed="false">
      <c r="A71" s="8"/>
      <c r="B71" s="37"/>
      <c r="C71" s="10"/>
      <c r="D71" s="10"/>
      <c r="E71" s="38" t="str">
        <f aca="false">IFERROR(INDEX(Übungen!$B$6:$B$28,MATCH($D71,Übungen!$A$6:$A$28,0))&amp;"","")</f>
        <v/>
      </c>
      <c r="F71" s="38" t="str">
        <f aca="false">IFERROR(INDEX(Übungen!$C$6:$C$28,MATCH($D71,Übungen!$A$6:$A$28,0))&amp;"","")</f>
        <v/>
      </c>
      <c r="G71" s="8"/>
      <c r="H71" s="39"/>
      <c r="I71" s="8"/>
      <c r="J71" s="8"/>
    </row>
    <row r="72" customFormat="false" ht="15" hidden="false" customHeight="false" outlineLevel="0" collapsed="false">
      <c r="A72" s="8"/>
      <c r="B72" s="37"/>
      <c r="C72" s="10"/>
      <c r="D72" s="10"/>
      <c r="E72" s="38" t="str">
        <f aca="false">IFERROR(INDEX(Übungen!$B$6:$B$28,MATCH($D72,Übungen!$A$6:$A$28,0))&amp;"","")</f>
        <v/>
      </c>
      <c r="F72" s="38" t="str">
        <f aca="false">IFERROR(INDEX(Übungen!$C$6:$C$28,MATCH($D72,Übungen!$A$6:$A$28,0))&amp;"","")</f>
        <v/>
      </c>
      <c r="G72" s="8"/>
      <c r="H72" s="39"/>
      <c r="I72" s="8"/>
      <c r="J72" s="8"/>
    </row>
    <row r="73" customFormat="false" ht="15" hidden="false" customHeight="false" outlineLevel="0" collapsed="false">
      <c r="A73" s="8"/>
      <c r="B73" s="37"/>
      <c r="C73" s="10"/>
      <c r="D73" s="10"/>
      <c r="E73" s="38" t="str">
        <f aca="false">IFERROR(INDEX(Übungen!$B$6:$B$28,MATCH($D73,Übungen!$A$6:$A$28,0))&amp;"","")</f>
        <v/>
      </c>
      <c r="F73" s="38" t="str">
        <f aca="false">IFERROR(INDEX(Übungen!$C$6:$C$28,MATCH($D73,Übungen!$A$6:$A$28,0))&amp;"","")</f>
        <v/>
      </c>
      <c r="G73" s="8"/>
      <c r="H73" s="39"/>
      <c r="I73" s="8"/>
      <c r="J73" s="8"/>
    </row>
    <row r="74" customFormat="false" ht="15" hidden="false" customHeight="false" outlineLevel="0" collapsed="false">
      <c r="A74" s="8"/>
      <c r="B74" s="37"/>
      <c r="C74" s="10"/>
      <c r="D74" s="10"/>
      <c r="E74" s="38" t="str">
        <f aca="false">IFERROR(INDEX(Übungen!$B$6:$B$28,MATCH($D74,Übungen!$A$6:$A$28,0))&amp;"","")</f>
        <v/>
      </c>
      <c r="F74" s="38" t="str">
        <f aca="false">IFERROR(INDEX(Übungen!$C$6:$C$28,MATCH($D74,Übungen!$A$6:$A$28,0))&amp;"","")</f>
        <v/>
      </c>
      <c r="G74" s="8"/>
      <c r="H74" s="39"/>
      <c r="I74" s="8"/>
      <c r="J74" s="8"/>
    </row>
    <row r="75" customFormat="false" ht="15" hidden="false" customHeight="false" outlineLevel="0" collapsed="false">
      <c r="A75" s="8"/>
      <c r="B75" s="37"/>
      <c r="C75" s="10"/>
      <c r="D75" s="10"/>
      <c r="E75" s="38" t="str">
        <f aca="false">IFERROR(INDEX(Übungen!$B$6:$B$28,MATCH($D75,Übungen!$A$6:$A$28,0))&amp;"","")</f>
        <v/>
      </c>
      <c r="F75" s="38" t="str">
        <f aca="false">IFERROR(INDEX(Übungen!$C$6:$C$28,MATCH($D75,Übungen!$A$6:$A$28,0))&amp;"","")</f>
        <v/>
      </c>
      <c r="G75" s="8"/>
      <c r="H75" s="39"/>
      <c r="I75" s="8"/>
      <c r="J75" s="8"/>
    </row>
    <row r="76" customFormat="false" ht="15" hidden="false" customHeight="false" outlineLevel="0" collapsed="false">
      <c r="A76" s="8"/>
      <c r="B76" s="37"/>
      <c r="C76" s="10"/>
      <c r="D76" s="10"/>
      <c r="E76" s="38" t="str">
        <f aca="false">IFERROR(INDEX(Übungen!$B$6:$B$28,MATCH($D76,Übungen!$A$6:$A$28,0))&amp;"","")</f>
        <v/>
      </c>
      <c r="F76" s="38" t="str">
        <f aca="false">IFERROR(INDEX(Übungen!$C$6:$C$28,MATCH($D76,Übungen!$A$6:$A$28,0))&amp;"","")</f>
        <v/>
      </c>
      <c r="G76" s="8"/>
      <c r="H76" s="39"/>
      <c r="I76" s="8"/>
      <c r="J76" s="8"/>
    </row>
    <row r="77" customFormat="false" ht="15" hidden="false" customHeight="false" outlineLevel="0" collapsed="false">
      <c r="A77" s="8"/>
      <c r="B77" s="37"/>
      <c r="C77" s="10"/>
      <c r="D77" s="10"/>
      <c r="E77" s="38" t="str">
        <f aca="false">IFERROR(INDEX(Übungen!$B$6:$B$28,MATCH($D77,Übungen!$A$6:$A$28,0))&amp;"","")</f>
        <v/>
      </c>
      <c r="F77" s="38" t="str">
        <f aca="false">IFERROR(INDEX(Übungen!$C$6:$C$28,MATCH($D77,Übungen!$A$6:$A$28,0))&amp;"","")</f>
        <v/>
      </c>
      <c r="G77" s="8"/>
      <c r="H77" s="39"/>
      <c r="I77" s="8"/>
      <c r="J77" s="8"/>
    </row>
    <row r="78" customFormat="false" ht="15" hidden="false" customHeight="false" outlineLevel="0" collapsed="false">
      <c r="A78" s="8"/>
      <c r="B78" s="37"/>
      <c r="C78" s="10"/>
      <c r="D78" s="10"/>
      <c r="E78" s="38" t="str">
        <f aca="false">IFERROR(INDEX(Übungen!$B$6:$B$28,MATCH($D78,Übungen!$A$6:$A$28,0))&amp;"","")</f>
        <v/>
      </c>
      <c r="F78" s="38" t="str">
        <f aca="false">IFERROR(INDEX(Übungen!$C$6:$C$28,MATCH($D78,Übungen!$A$6:$A$28,0))&amp;"","")</f>
        <v/>
      </c>
      <c r="G78" s="8"/>
      <c r="H78" s="39"/>
      <c r="I78" s="8"/>
      <c r="J78" s="8"/>
    </row>
    <row r="79" customFormat="false" ht="15" hidden="false" customHeight="false" outlineLevel="0" collapsed="false">
      <c r="A79" s="8"/>
      <c r="B79" s="37"/>
      <c r="C79" s="10"/>
      <c r="D79" s="10"/>
      <c r="E79" s="38" t="str">
        <f aca="false">IFERROR(INDEX(Übungen!$B$6:$B$28,MATCH($D79,Übungen!$A$6:$A$28,0))&amp;"","")</f>
        <v/>
      </c>
      <c r="F79" s="38" t="str">
        <f aca="false">IFERROR(INDEX(Übungen!$C$6:$C$28,MATCH($D79,Übungen!$A$6:$A$28,0))&amp;"","")</f>
        <v/>
      </c>
      <c r="G79" s="8"/>
      <c r="H79" s="39"/>
      <c r="I79" s="8"/>
      <c r="J79" s="8"/>
    </row>
    <row r="80" customFormat="false" ht="15" hidden="false" customHeight="false" outlineLevel="0" collapsed="false">
      <c r="A80" s="8"/>
      <c r="B80" s="37"/>
      <c r="C80" s="10"/>
      <c r="D80" s="10"/>
      <c r="E80" s="38" t="str">
        <f aca="false">IFERROR(INDEX(Übungen!$B$6:$B$28,MATCH($D80,Übungen!$A$6:$A$28,0))&amp;"","")</f>
        <v/>
      </c>
      <c r="F80" s="38" t="str">
        <f aca="false">IFERROR(INDEX(Übungen!$C$6:$C$28,MATCH($D80,Übungen!$A$6:$A$28,0))&amp;"","")</f>
        <v/>
      </c>
      <c r="G80" s="8"/>
      <c r="H80" s="39"/>
      <c r="I80" s="8"/>
      <c r="J80" s="8"/>
    </row>
    <row r="81" customFormat="false" ht="15" hidden="false" customHeight="false" outlineLevel="0" collapsed="false">
      <c r="A81" s="8"/>
      <c r="B81" s="37"/>
      <c r="C81" s="10"/>
      <c r="D81" s="10"/>
      <c r="E81" s="38" t="str">
        <f aca="false">IFERROR(INDEX(Übungen!$B$6:$B$28,MATCH($D81,Übungen!$A$6:$A$28,0))&amp;"","")</f>
        <v/>
      </c>
      <c r="F81" s="38" t="str">
        <f aca="false">IFERROR(INDEX(Übungen!$C$6:$C$28,MATCH($D81,Übungen!$A$6:$A$28,0))&amp;"","")</f>
        <v/>
      </c>
      <c r="G81" s="8"/>
      <c r="H81" s="39"/>
      <c r="I81" s="8"/>
      <c r="J81" s="8"/>
    </row>
    <row r="82" customFormat="false" ht="15" hidden="false" customHeight="false" outlineLevel="0" collapsed="false">
      <c r="A82" s="8"/>
      <c r="B82" s="37"/>
      <c r="C82" s="10"/>
      <c r="D82" s="10"/>
      <c r="E82" s="38" t="str">
        <f aca="false">IFERROR(INDEX(Übungen!$B$6:$B$28,MATCH($D82,Übungen!$A$6:$A$28,0))&amp;"","")</f>
        <v/>
      </c>
      <c r="F82" s="38" t="str">
        <f aca="false">IFERROR(INDEX(Übungen!$C$6:$C$28,MATCH($D82,Übungen!$A$6:$A$28,0))&amp;"","")</f>
        <v/>
      </c>
      <c r="G82" s="8"/>
      <c r="H82" s="39"/>
      <c r="I82" s="8"/>
      <c r="J82" s="8"/>
    </row>
    <row r="83" customFormat="false" ht="15" hidden="false" customHeight="false" outlineLevel="0" collapsed="false">
      <c r="A83" s="8"/>
      <c r="B83" s="37"/>
      <c r="C83" s="10"/>
      <c r="D83" s="10"/>
      <c r="E83" s="38" t="str">
        <f aca="false">IFERROR(INDEX(Übungen!$B$6:$B$28,MATCH($D83,Übungen!$A$6:$A$28,0))&amp;"","")</f>
        <v/>
      </c>
      <c r="F83" s="38" t="str">
        <f aca="false">IFERROR(INDEX(Übungen!$C$6:$C$28,MATCH($D83,Übungen!$A$6:$A$28,0))&amp;"","")</f>
        <v/>
      </c>
      <c r="G83" s="8"/>
      <c r="H83" s="39"/>
      <c r="I83" s="8"/>
      <c r="J83" s="8"/>
    </row>
    <row r="84" customFormat="false" ht="15" hidden="false" customHeight="false" outlineLevel="0" collapsed="false">
      <c r="A84" s="8"/>
      <c r="B84" s="37"/>
      <c r="C84" s="10"/>
      <c r="D84" s="10"/>
      <c r="E84" s="38" t="str">
        <f aca="false">IFERROR(INDEX(Übungen!$B$6:$B$28,MATCH($D84,Übungen!$A$6:$A$28,0))&amp;"","")</f>
        <v/>
      </c>
      <c r="F84" s="38" t="str">
        <f aca="false">IFERROR(INDEX(Übungen!$C$6:$C$28,MATCH($D84,Übungen!$A$6:$A$28,0))&amp;"","")</f>
        <v/>
      </c>
      <c r="G84" s="8"/>
      <c r="H84" s="39"/>
      <c r="I84" s="8"/>
      <c r="J84" s="8"/>
    </row>
    <row r="85" customFormat="false" ht="15" hidden="false" customHeight="false" outlineLevel="0" collapsed="false">
      <c r="A85" s="8"/>
      <c r="B85" s="37"/>
      <c r="C85" s="10"/>
      <c r="D85" s="10"/>
      <c r="E85" s="38" t="str">
        <f aca="false">IFERROR(INDEX(Übungen!$B$6:$B$28,MATCH($D85,Übungen!$A$6:$A$28,0))&amp;"","")</f>
        <v/>
      </c>
      <c r="F85" s="38" t="str">
        <f aca="false">IFERROR(INDEX(Übungen!$C$6:$C$28,MATCH($D85,Übungen!$A$6:$A$28,0))&amp;"","")</f>
        <v/>
      </c>
      <c r="G85" s="8"/>
      <c r="H85" s="39"/>
      <c r="I85" s="8"/>
      <c r="J85" s="8"/>
    </row>
    <row r="86" customFormat="false" ht="15" hidden="false" customHeight="false" outlineLevel="0" collapsed="false">
      <c r="A86" s="8"/>
      <c r="B86" s="37"/>
      <c r="C86" s="10"/>
      <c r="D86" s="10"/>
      <c r="E86" s="38" t="str">
        <f aca="false">IFERROR(INDEX(Übungen!$B$6:$B$28,MATCH($D86,Übungen!$A$6:$A$28,0))&amp;"","")</f>
        <v/>
      </c>
      <c r="F86" s="38" t="str">
        <f aca="false">IFERROR(INDEX(Übungen!$C$6:$C$28,MATCH($D86,Übungen!$A$6:$A$28,0))&amp;"","")</f>
        <v/>
      </c>
      <c r="G86" s="8"/>
      <c r="H86" s="39"/>
      <c r="I86" s="8"/>
      <c r="J86" s="8"/>
    </row>
    <row r="87" customFormat="false" ht="15" hidden="false" customHeight="false" outlineLevel="0" collapsed="false">
      <c r="A87" s="8"/>
      <c r="B87" s="37"/>
      <c r="C87" s="10"/>
      <c r="D87" s="10"/>
      <c r="E87" s="38" t="str">
        <f aca="false">IFERROR(INDEX(Übungen!$B$6:$B$28,MATCH($D87,Übungen!$A$6:$A$28,0))&amp;"","")</f>
        <v/>
      </c>
      <c r="F87" s="38" t="str">
        <f aca="false">IFERROR(INDEX(Übungen!$C$6:$C$28,MATCH($D87,Übungen!$A$6:$A$28,0))&amp;"","")</f>
        <v/>
      </c>
      <c r="G87" s="8"/>
      <c r="H87" s="39"/>
      <c r="I87" s="8"/>
      <c r="J87" s="8"/>
    </row>
    <row r="88" customFormat="false" ht="15" hidden="false" customHeight="false" outlineLevel="0" collapsed="false">
      <c r="A88" s="8"/>
      <c r="B88" s="37"/>
      <c r="C88" s="10"/>
      <c r="D88" s="10"/>
      <c r="E88" s="38" t="str">
        <f aca="false">IFERROR(INDEX(Übungen!$B$6:$B$28,MATCH($D88,Übungen!$A$6:$A$28,0))&amp;"","")</f>
        <v/>
      </c>
      <c r="F88" s="38" t="str">
        <f aca="false">IFERROR(INDEX(Übungen!$C$6:$C$28,MATCH($D88,Übungen!$A$6:$A$28,0))&amp;"","")</f>
        <v/>
      </c>
      <c r="G88" s="8"/>
      <c r="H88" s="39"/>
      <c r="I88" s="8"/>
      <c r="J88" s="8"/>
    </row>
    <row r="89" customFormat="false" ht="15" hidden="false" customHeight="false" outlineLevel="0" collapsed="false">
      <c r="A89" s="8"/>
      <c r="B89" s="37"/>
      <c r="C89" s="10"/>
      <c r="D89" s="10"/>
      <c r="E89" s="38" t="str">
        <f aca="false">IFERROR(INDEX(Übungen!$B$6:$B$28,MATCH($D89,Übungen!$A$6:$A$28,0))&amp;"","")</f>
        <v/>
      </c>
      <c r="F89" s="38" t="str">
        <f aca="false">IFERROR(INDEX(Übungen!$C$6:$C$28,MATCH($D89,Übungen!$A$6:$A$28,0))&amp;"","")</f>
        <v/>
      </c>
      <c r="G89" s="8"/>
      <c r="H89" s="39"/>
      <c r="I89" s="8"/>
      <c r="J89" s="8"/>
    </row>
    <row r="90" customFormat="false" ht="15" hidden="false" customHeight="false" outlineLevel="0" collapsed="false">
      <c r="A90" s="8"/>
      <c r="B90" s="37"/>
      <c r="C90" s="10"/>
      <c r="D90" s="10"/>
      <c r="E90" s="38" t="str">
        <f aca="false">IFERROR(INDEX(Übungen!$B$6:$B$28,MATCH($D90,Übungen!$A$6:$A$28,0))&amp;"","")</f>
        <v/>
      </c>
      <c r="F90" s="38" t="str">
        <f aca="false">IFERROR(INDEX(Übungen!$C$6:$C$28,MATCH($D90,Übungen!$A$6:$A$28,0))&amp;"","")</f>
        <v/>
      </c>
      <c r="G90" s="8"/>
      <c r="H90" s="39"/>
      <c r="I90" s="8"/>
      <c r="J90" s="8"/>
    </row>
    <row r="91" customFormat="false" ht="15" hidden="false" customHeight="false" outlineLevel="0" collapsed="false">
      <c r="A91" s="8"/>
      <c r="B91" s="37"/>
      <c r="C91" s="10"/>
      <c r="D91" s="10"/>
      <c r="E91" s="38" t="str">
        <f aca="false">IFERROR(INDEX(Übungen!$B$6:$B$28,MATCH($D91,Übungen!$A$6:$A$28,0))&amp;"","")</f>
        <v/>
      </c>
      <c r="F91" s="38" t="str">
        <f aca="false">IFERROR(INDEX(Übungen!$C$6:$C$28,MATCH($D91,Übungen!$A$6:$A$28,0))&amp;"","")</f>
        <v/>
      </c>
      <c r="G91" s="8"/>
      <c r="H91" s="39"/>
      <c r="I91" s="8"/>
      <c r="J91" s="8"/>
    </row>
    <row r="92" customFormat="false" ht="15" hidden="false" customHeight="false" outlineLevel="0" collapsed="false">
      <c r="A92" s="8"/>
      <c r="B92" s="37"/>
      <c r="C92" s="10"/>
      <c r="D92" s="10"/>
      <c r="E92" s="38" t="str">
        <f aca="false">IFERROR(INDEX(Übungen!$B$6:$B$28,MATCH($D92,Übungen!$A$6:$A$28,0))&amp;"","")</f>
        <v/>
      </c>
      <c r="F92" s="38" t="str">
        <f aca="false">IFERROR(INDEX(Übungen!$C$6:$C$28,MATCH($D92,Übungen!$A$6:$A$28,0))&amp;"","")</f>
        <v/>
      </c>
      <c r="G92" s="8"/>
      <c r="H92" s="39"/>
      <c r="I92" s="8"/>
      <c r="J92" s="8"/>
    </row>
    <row r="93" customFormat="false" ht="15" hidden="false" customHeight="false" outlineLevel="0" collapsed="false">
      <c r="A93" s="8"/>
      <c r="B93" s="37"/>
      <c r="C93" s="10"/>
      <c r="D93" s="10"/>
      <c r="E93" s="38" t="str">
        <f aca="false">IFERROR(INDEX(Übungen!$B$6:$B$28,MATCH($D93,Übungen!$A$6:$A$28,0))&amp;"","")</f>
        <v/>
      </c>
      <c r="F93" s="38" t="str">
        <f aca="false">IFERROR(INDEX(Übungen!$C$6:$C$28,MATCH($D93,Übungen!$A$6:$A$28,0))&amp;"","")</f>
        <v/>
      </c>
      <c r="G93" s="8"/>
      <c r="H93" s="39"/>
      <c r="I93" s="8"/>
      <c r="J93" s="8"/>
    </row>
    <row r="94" customFormat="false" ht="15" hidden="false" customHeight="false" outlineLevel="0" collapsed="false">
      <c r="A94" s="8"/>
      <c r="B94" s="37"/>
      <c r="C94" s="10"/>
      <c r="D94" s="10"/>
      <c r="E94" s="38" t="str">
        <f aca="false">IFERROR(INDEX(Übungen!$B$6:$B$28,MATCH($D94,Übungen!$A$6:$A$28,0))&amp;"","")</f>
        <v/>
      </c>
      <c r="F94" s="38" t="str">
        <f aca="false">IFERROR(INDEX(Übungen!$C$6:$C$28,MATCH($D94,Übungen!$A$6:$A$28,0))&amp;"","")</f>
        <v/>
      </c>
      <c r="G94" s="8"/>
      <c r="H94" s="39"/>
      <c r="I94" s="8"/>
      <c r="J94" s="8"/>
    </row>
    <row r="95" customFormat="false" ht="15" hidden="false" customHeight="false" outlineLevel="0" collapsed="false">
      <c r="A95" s="8"/>
      <c r="B95" s="37"/>
      <c r="C95" s="10"/>
      <c r="D95" s="10"/>
      <c r="E95" s="38" t="str">
        <f aca="false">IFERROR(INDEX(Übungen!$B$6:$B$28,MATCH($D95,Übungen!$A$6:$A$28,0))&amp;"","")</f>
        <v/>
      </c>
      <c r="F95" s="38" t="str">
        <f aca="false">IFERROR(INDEX(Übungen!$C$6:$C$28,MATCH($D95,Übungen!$A$6:$A$28,0))&amp;"","")</f>
        <v/>
      </c>
      <c r="G95" s="8"/>
      <c r="H95" s="39"/>
      <c r="I95" s="8"/>
      <c r="J95" s="8"/>
    </row>
    <row r="96" customFormat="false" ht="15" hidden="false" customHeight="false" outlineLevel="0" collapsed="false">
      <c r="A96" s="8"/>
      <c r="B96" s="37"/>
      <c r="C96" s="10"/>
      <c r="D96" s="10"/>
      <c r="E96" s="38" t="str">
        <f aca="false">IFERROR(INDEX(Übungen!$B$6:$B$28,MATCH($D96,Übungen!$A$6:$A$28,0))&amp;"","")</f>
        <v/>
      </c>
      <c r="F96" s="38" t="str">
        <f aca="false">IFERROR(INDEX(Übungen!$C$6:$C$28,MATCH($D96,Übungen!$A$6:$A$28,0))&amp;"","")</f>
        <v/>
      </c>
      <c r="G96" s="8"/>
      <c r="H96" s="39"/>
      <c r="I96" s="8"/>
      <c r="J96" s="8"/>
    </row>
    <row r="97" customFormat="false" ht="15" hidden="false" customHeight="false" outlineLevel="0" collapsed="false">
      <c r="A97" s="8"/>
      <c r="B97" s="37"/>
      <c r="C97" s="10"/>
      <c r="D97" s="10"/>
      <c r="E97" s="38" t="str">
        <f aca="false">IFERROR(INDEX(Übungen!$B$6:$B$28,MATCH($D97,Übungen!$A$6:$A$28,0))&amp;"","")</f>
        <v/>
      </c>
      <c r="F97" s="38" t="str">
        <f aca="false">IFERROR(INDEX(Übungen!$C$6:$C$28,MATCH($D97,Übungen!$A$6:$A$28,0))&amp;"","")</f>
        <v/>
      </c>
      <c r="G97" s="8"/>
      <c r="H97" s="39"/>
      <c r="I97" s="8"/>
      <c r="J97" s="8"/>
    </row>
    <row r="98" customFormat="false" ht="15" hidden="false" customHeight="false" outlineLevel="0" collapsed="false">
      <c r="A98" s="8"/>
      <c r="B98" s="37"/>
      <c r="C98" s="10"/>
      <c r="D98" s="10"/>
      <c r="E98" s="38" t="str">
        <f aca="false">IFERROR(INDEX(Übungen!$B$6:$B$28,MATCH($D98,Übungen!$A$6:$A$28,0))&amp;"","")</f>
        <v/>
      </c>
      <c r="F98" s="38" t="str">
        <f aca="false">IFERROR(INDEX(Übungen!$C$6:$C$28,MATCH($D98,Übungen!$A$6:$A$28,0))&amp;"","")</f>
        <v/>
      </c>
      <c r="G98" s="8"/>
      <c r="H98" s="39"/>
      <c r="I98" s="8"/>
      <c r="J98" s="8"/>
    </row>
    <row r="99" customFormat="false" ht="15" hidden="false" customHeight="false" outlineLevel="0" collapsed="false">
      <c r="A99" s="8"/>
      <c r="B99" s="37"/>
      <c r="C99" s="10"/>
      <c r="D99" s="10"/>
      <c r="E99" s="38" t="str">
        <f aca="false">IFERROR(INDEX(Übungen!$B$6:$B$28,MATCH($D99,Übungen!$A$6:$A$28,0))&amp;"","")</f>
        <v/>
      </c>
      <c r="F99" s="38" t="str">
        <f aca="false">IFERROR(INDEX(Übungen!$C$6:$C$28,MATCH($D99,Übungen!$A$6:$A$28,0))&amp;"","")</f>
        <v/>
      </c>
      <c r="G99" s="8"/>
      <c r="H99" s="39"/>
      <c r="I99" s="8"/>
      <c r="J99" s="8"/>
    </row>
    <row r="100" customFormat="false" ht="15" hidden="false" customHeight="false" outlineLevel="0" collapsed="false">
      <c r="A100" s="8"/>
      <c r="B100" s="37"/>
      <c r="C100" s="10"/>
      <c r="D100" s="10"/>
      <c r="E100" s="38" t="str">
        <f aca="false">IFERROR(INDEX(Übungen!$B$6:$B$28,MATCH($D100,Übungen!$A$6:$A$28,0))&amp;"","")</f>
        <v/>
      </c>
      <c r="F100" s="38" t="str">
        <f aca="false">IFERROR(INDEX(Übungen!$C$6:$C$28,MATCH($D100,Übungen!$A$6:$A$28,0))&amp;"","")</f>
        <v/>
      </c>
      <c r="G100" s="8"/>
      <c r="H100" s="39"/>
      <c r="I100" s="8"/>
      <c r="J100" s="8"/>
    </row>
    <row r="101" customFormat="false" ht="15" hidden="false" customHeight="false" outlineLevel="0" collapsed="false">
      <c r="A101" s="8"/>
      <c r="B101" s="37"/>
      <c r="C101" s="10"/>
      <c r="D101" s="10"/>
      <c r="E101" s="38" t="str">
        <f aca="false">IFERROR(INDEX(Übungen!$B$6:$B$28,MATCH($D101,Übungen!$A$6:$A$28,0))&amp;"","")</f>
        <v/>
      </c>
      <c r="F101" s="38" t="str">
        <f aca="false">IFERROR(INDEX(Übungen!$C$6:$C$28,MATCH($D101,Übungen!$A$6:$A$28,0))&amp;"","")</f>
        <v/>
      </c>
      <c r="G101" s="8"/>
      <c r="H101" s="39"/>
      <c r="I101" s="8"/>
      <c r="J101" s="8"/>
    </row>
    <row r="102" customFormat="false" ht="15" hidden="false" customHeight="false" outlineLevel="0" collapsed="false">
      <c r="A102" s="8"/>
      <c r="B102" s="37"/>
      <c r="C102" s="10"/>
      <c r="D102" s="10"/>
      <c r="E102" s="38" t="str">
        <f aca="false">IFERROR(INDEX(Übungen!$B$6:$B$28,MATCH($D102,Übungen!$A$6:$A$28,0))&amp;"","")</f>
        <v/>
      </c>
      <c r="F102" s="38" t="str">
        <f aca="false">IFERROR(INDEX(Übungen!$C$6:$C$28,MATCH($D102,Übungen!$A$6:$A$28,0))&amp;"","")</f>
        <v/>
      </c>
      <c r="G102" s="8"/>
      <c r="H102" s="39"/>
      <c r="I102" s="8"/>
      <c r="J102" s="8"/>
    </row>
    <row r="103" customFormat="false" ht="15" hidden="false" customHeight="false" outlineLevel="0" collapsed="false">
      <c r="A103" s="8"/>
      <c r="B103" s="37"/>
      <c r="C103" s="10"/>
      <c r="D103" s="10"/>
      <c r="E103" s="38" t="str">
        <f aca="false">IFERROR(INDEX(Übungen!$B$6:$B$28,MATCH($D103,Übungen!$A$6:$A$28,0))&amp;"","")</f>
        <v/>
      </c>
      <c r="F103" s="38" t="str">
        <f aca="false">IFERROR(INDEX(Übungen!$C$6:$C$28,MATCH($D103,Übungen!$A$6:$A$28,0))&amp;"","")</f>
        <v/>
      </c>
      <c r="G103" s="8"/>
      <c r="H103" s="39"/>
      <c r="I103" s="8"/>
      <c r="J103" s="8"/>
    </row>
    <row r="104" customFormat="false" ht="15" hidden="false" customHeight="false" outlineLevel="0" collapsed="false">
      <c r="A104" s="8"/>
      <c r="B104" s="37"/>
      <c r="C104" s="10"/>
      <c r="D104" s="10"/>
      <c r="E104" s="38" t="str">
        <f aca="false">IFERROR(INDEX(Übungen!$B$6:$B$28,MATCH($D104,Übungen!$A$6:$A$28,0))&amp;"","")</f>
        <v/>
      </c>
      <c r="F104" s="38" t="str">
        <f aca="false">IFERROR(INDEX(Übungen!$C$6:$C$28,MATCH($D104,Übungen!$A$6:$A$28,0))&amp;"","")</f>
        <v/>
      </c>
      <c r="G104" s="8"/>
      <c r="H104" s="39"/>
      <c r="I104" s="8"/>
      <c r="J104" s="8"/>
    </row>
    <row r="105" customFormat="false" ht="15" hidden="false" customHeight="false" outlineLevel="0" collapsed="false">
      <c r="A105" s="8"/>
      <c r="B105" s="37"/>
      <c r="C105" s="10"/>
      <c r="D105" s="10"/>
      <c r="E105" s="38" t="str">
        <f aca="false">IFERROR(INDEX(Übungen!$B$6:$B$28,MATCH($D105,Übungen!$A$6:$A$28,0))&amp;"","")</f>
        <v/>
      </c>
      <c r="F105" s="38" t="str">
        <f aca="false">IFERROR(INDEX(Übungen!$C$6:$C$28,MATCH($D105,Übungen!$A$6:$A$28,0))&amp;"","")</f>
        <v/>
      </c>
      <c r="G105" s="8"/>
      <c r="H105" s="39"/>
      <c r="I105" s="8"/>
      <c r="J105" s="8"/>
    </row>
    <row r="106" customFormat="false" ht="15" hidden="false" customHeight="false" outlineLevel="0" collapsed="false">
      <c r="A106" s="8"/>
      <c r="B106" s="37"/>
      <c r="C106" s="10"/>
      <c r="D106" s="10"/>
      <c r="E106" s="38" t="str">
        <f aca="false">IFERROR(INDEX(Übungen!$B$6:$B$28,MATCH($D106,Übungen!$A$6:$A$28,0))&amp;"","")</f>
        <v/>
      </c>
      <c r="F106" s="38" t="str">
        <f aca="false">IFERROR(INDEX(Übungen!$C$6:$C$28,MATCH($D106,Übungen!$A$6:$A$28,0))&amp;"","")</f>
        <v/>
      </c>
      <c r="G106" s="8"/>
      <c r="H106" s="39"/>
      <c r="I106" s="8"/>
      <c r="J106" s="8"/>
    </row>
    <row r="107" customFormat="false" ht="15" hidden="false" customHeight="false" outlineLevel="0" collapsed="false">
      <c r="A107" s="8"/>
      <c r="B107" s="37"/>
      <c r="C107" s="10"/>
      <c r="D107" s="10"/>
      <c r="E107" s="38" t="str">
        <f aca="false">IFERROR(INDEX(Übungen!$B$6:$B$28,MATCH($D107,Übungen!$A$6:$A$28,0))&amp;"","")</f>
        <v/>
      </c>
      <c r="F107" s="38" t="str">
        <f aca="false">IFERROR(INDEX(Übungen!$C$6:$C$28,MATCH($D107,Übungen!$A$6:$A$28,0))&amp;"","")</f>
        <v/>
      </c>
      <c r="G107" s="8"/>
      <c r="H107" s="39"/>
      <c r="I107" s="8"/>
      <c r="J107" s="8"/>
    </row>
    <row r="108" customFormat="false" ht="15" hidden="false" customHeight="false" outlineLevel="0" collapsed="false">
      <c r="A108" s="8"/>
      <c r="B108" s="37"/>
      <c r="C108" s="10"/>
      <c r="D108" s="10"/>
      <c r="E108" s="38" t="str">
        <f aca="false">IFERROR(INDEX(Übungen!$B$6:$B$28,MATCH($D108,Übungen!$A$6:$A$28,0))&amp;"","")</f>
        <v/>
      </c>
      <c r="F108" s="38" t="str">
        <f aca="false">IFERROR(INDEX(Übungen!$C$6:$C$28,MATCH($D108,Übungen!$A$6:$A$28,0))&amp;"","")</f>
        <v/>
      </c>
      <c r="G108" s="8"/>
      <c r="H108" s="39"/>
      <c r="I108" s="8"/>
      <c r="J108" s="8"/>
    </row>
    <row r="109" customFormat="false" ht="15" hidden="false" customHeight="false" outlineLevel="0" collapsed="false">
      <c r="A109" s="8"/>
      <c r="B109" s="37"/>
      <c r="C109" s="10"/>
      <c r="D109" s="10"/>
      <c r="E109" s="38" t="str">
        <f aca="false">IFERROR(INDEX(Übungen!$B$6:$B$28,MATCH($D109,Übungen!$A$6:$A$28,0))&amp;"","")</f>
        <v/>
      </c>
      <c r="F109" s="38" t="str">
        <f aca="false">IFERROR(INDEX(Übungen!$C$6:$C$28,MATCH($D109,Übungen!$A$6:$A$28,0))&amp;"","")</f>
        <v/>
      </c>
      <c r="G109" s="8"/>
      <c r="H109" s="39"/>
      <c r="I109" s="8"/>
      <c r="J109" s="8"/>
    </row>
    <row r="110" customFormat="false" ht="15" hidden="false" customHeight="false" outlineLevel="0" collapsed="false">
      <c r="A110" s="8"/>
      <c r="B110" s="37"/>
      <c r="C110" s="10"/>
      <c r="D110" s="10"/>
      <c r="E110" s="38" t="str">
        <f aca="false">IFERROR(INDEX(Übungen!$B$6:$B$28,MATCH($D110,Übungen!$A$6:$A$28,0))&amp;"","")</f>
        <v/>
      </c>
      <c r="F110" s="38" t="str">
        <f aca="false">IFERROR(INDEX(Übungen!$C$6:$C$28,MATCH($D110,Übungen!$A$6:$A$28,0))&amp;"","")</f>
        <v/>
      </c>
      <c r="G110" s="8"/>
      <c r="H110" s="39"/>
      <c r="I110" s="8"/>
      <c r="J110" s="8"/>
    </row>
    <row r="111" customFormat="false" ht="15" hidden="false" customHeight="false" outlineLevel="0" collapsed="false">
      <c r="A111" s="8"/>
      <c r="B111" s="37"/>
      <c r="C111" s="10"/>
      <c r="D111" s="10"/>
      <c r="E111" s="38" t="str">
        <f aca="false">IFERROR(INDEX(Übungen!$B$6:$B$28,MATCH($D111,Übungen!$A$6:$A$28,0))&amp;"","")</f>
        <v/>
      </c>
      <c r="F111" s="38" t="str">
        <f aca="false">IFERROR(INDEX(Übungen!$C$6:$C$28,MATCH($D111,Übungen!$A$6:$A$28,0))&amp;"","")</f>
        <v/>
      </c>
      <c r="G111" s="8"/>
      <c r="H111" s="39"/>
      <c r="I111" s="8"/>
      <c r="J111" s="8"/>
    </row>
    <row r="112" customFormat="false" ht="15" hidden="false" customHeight="false" outlineLevel="0" collapsed="false">
      <c r="A112" s="8"/>
      <c r="B112" s="37"/>
      <c r="C112" s="10"/>
      <c r="D112" s="10"/>
      <c r="E112" s="38" t="str">
        <f aca="false">IFERROR(INDEX(Übungen!$B$6:$B$28,MATCH($D112,Übungen!$A$6:$A$28,0))&amp;"","")</f>
        <v/>
      </c>
      <c r="F112" s="38" t="str">
        <f aca="false">IFERROR(INDEX(Übungen!$C$6:$C$28,MATCH($D112,Übungen!$A$6:$A$28,0))&amp;"","")</f>
        <v/>
      </c>
      <c r="G112" s="8"/>
      <c r="H112" s="39"/>
      <c r="I112" s="8"/>
      <c r="J112" s="8"/>
    </row>
    <row r="113" customFormat="false" ht="15" hidden="false" customHeight="false" outlineLevel="0" collapsed="false">
      <c r="A113" s="8"/>
      <c r="B113" s="37"/>
      <c r="C113" s="10"/>
      <c r="D113" s="10"/>
      <c r="E113" s="38" t="str">
        <f aca="false">IFERROR(INDEX(Übungen!$B$6:$B$28,MATCH($D113,Übungen!$A$6:$A$28,0))&amp;"","")</f>
        <v/>
      </c>
      <c r="F113" s="38" t="str">
        <f aca="false">IFERROR(INDEX(Übungen!$C$6:$C$28,MATCH($D113,Übungen!$A$6:$A$28,0))&amp;"","")</f>
        <v/>
      </c>
      <c r="G113" s="8"/>
      <c r="H113" s="39"/>
      <c r="I113" s="8"/>
      <c r="J113" s="8"/>
    </row>
    <row r="114" customFormat="false" ht="15" hidden="false" customHeight="false" outlineLevel="0" collapsed="false">
      <c r="A114" s="8"/>
      <c r="B114" s="37"/>
      <c r="C114" s="10"/>
      <c r="D114" s="10"/>
      <c r="E114" s="38" t="str">
        <f aca="false">IFERROR(INDEX(Übungen!$B$6:$B$28,MATCH($D114,Übungen!$A$6:$A$28,0))&amp;"","")</f>
        <v/>
      </c>
      <c r="F114" s="38" t="str">
        <f aca="false">IFERROR(INDEX(Übungen!$C$6:$C$28,MATCH($D114,Übungen!$A$6:$A$28,0))&amp;"","")</f>
        <v/>
      </c>
      <c r="G114" s="8"/>
      <c r="H114" s="39"/>
      <c r="I114" s="8"/>
      <c r="J114" s="8"/>
    </row>
    <row r="115" customFormat="false" ht="15" hidden="false" customHeight="false" outlineLevel="0" collapsed="false">
      <c r="A115" s="8"/>
      <c r="B115" s="37"/>
      <c r="C115" s="10"/>
      <c r="D115" s="10"/>
      <c r="E115" s="38" t="str">
        <f aca="false">IFERROR(INDEX(Übungen!$B$6:$B$28,MATCH($D115,Übungen!$A$6:$A$28,0))&amp;"","")</f>
        <v/>
      </c>
      <c r="F115" s="38" t="str">
        <f aca="false">IFERROR(INDEX(Übungen!$C$6:$C$28,MATCH($D115,Übungen!$A$6:$A$28,0))&amp;"","")</f>
        <v/>
      </c>
      <c r="G115" s="8"/>
      <c r="H115" s="39"/>
      <c r="I115" s="8"/>
      <c r="J115" s="8"/>
    </row>
    <row r="116" customFormat="false" ht="15" hidden="false" customHeight="false" outlineLevel="0" collapsed="false">
      <c r="A116" s="8"/>
      <c r="B116" s="37"/>
      <c r="C116" s="10"/>
      <c r="D116" s="10"/>
      <c r="E116" s="38" t="str">
        <f aca="false">IFERROR(INDEX(Übungen!$B$6:$B$28,MATCH($D116,Übungen!$A$6:$A$28,0))&amp;"","")</f>
        <v/>
      </c>
      <c r="F116" s="38" t="str">
        <f aca="false">IFERROR(INDEX(Übungen!$C$6:$C$28,MATCH($D116,Übungen!$A$6:$A$28,0))&amp;"","")</f>
        <v/>
      </c>
      <c r="G116" s="8"/>
      <c r="H116" s="39"/>
      <c r="I116" s="8"/>
      <c r="J116" s="8"/>
    </row>
    <row r="117" customFormat="false" ht="15" hidden="false" customHeight="false" outlineLevel="0" collapsed="false">
      <c r="A117" s="8"/>
      <c r="B117" s="37"/>
      <c r="C117" s="10"/>
      <c r="D117" s="10"/>
      <c r="E117" s="38" t="str">
        <f aca="false">IFERROR(INDEX(Übungen!$B$6:$B$28,MATCH($D117,Übungen!$A$6:$A$28,0))&amp;"","")</f>
        <v/>
      </c>
      <c r="F117" s="38" t="str">
        <f aca="false">IFERROR(INDEX(Übungen!$C$6:$C$28,MATCH($D117,Übungen!$A$6:$A$28,0))&amp;"","")</f>
        <v/>
      </c>
      <c r="G117" s="8"/>
      <c r="H117" s="39"/>
      <c r="I117" s="8"/>
      <c r="J117" s="8"/>
    </row>
    <row r="118" customFormat="false" ht="15" hidden="false" customHeight="false" outlineLevel="0" collapsed="false">
      <c r="A118" s="8"/>
      <c r="B118" s="37"/>
      <c r="C118" s="10"/>
      <c r="D118" s="10"/>
      <c r="E118" s="38" t="str">
        <f aca="false">IFERROR(INDEX(Übungen!$B$6:$B$28,MATCH($D118,Übungen!$A$6:$A$28,0))&amp;"","")</f>
        <v/>
      </c>
      <c r="F118" s="38" t="str">
        <f aca="false">IFERROR(INDEX(Übungen!$C$6:$C$28,MATCH($D118,Übungen!$A$6:$A$28,0))&amp;"","")</f>
        <v/>
      </c>
      <c r="G118" s="8"/>
      <c r="H118" s="39"/>
      <c r="I118" s="8"/>
      <c r="J118" s="8"/>
    </row>
    <row r="119" customFormat="false" ht="15" hidden="false" customHeight="false" outlineLevel="0" collapsed="false">
      <c r="A119" s="8"/>
      <c r="B119" s="37"/>
      <c r="C119" s="10"/>
      <c r="D119" s="10"/>
      <c r="E119" s="38" t="str">
        <f aca="false">IFERROR(INDEX(Übungen!$B$6:$B$28,MATCH($D119,Übungen!$A$6:$A$28,0))&amp;"","")</f>
        <v/>
      </c>
      <c r="F119" s="38" t="str">
        <f aca="false">IFERROR(INDEX(Übungen!$C$6:$C$28,MATCH($D119,Übungen!$A$6:$A$28,0))&amp;"","")</f>
        <v/>
      </c>
      <c r="G119" s="8"/>
      <c r="H119" s="39"/>
      <c r="I119" s="8"/>
      <c r="J119" s="8"/>
    </row>
    <row r="120" customFormat="false" ht="15" hidden="false" customHeight="false" outlineLevel="0" collapsed="false">
      <c r="A120" s="8"/>
      <c r="B120" s="37"/>
      <c r="C120" s="10"/>
      <c r="D120" s="10"/>
      <c r="E120" s="38" t="str">
        <f aca="false">IFERROR(INDEX(Übungen!$B$6:$B$28,MATCH($D120,Übungen!$A$6:$A$28,0))&amp;"","")</f>
        <v/>
      </c>
      <c r="F120" s="38" t="str">
        <f aca="false">IFERROR(INDEX(Übungen!$C$6:$C$28,MATCH($D120,Übungen!$A$6:$A$28,0))&amp;"","")</f>
        <v/>
      </c>
      <c r="G120" s="8"/>
      <c r="H120" s="39"/>
      <c r="I120" s="8"/>
      <c r="J120" s="8"/>
    </row>
    <row r="121" customFormat="false" ht="15" hidden="false" customHeight="false" outlineLevel="0" collapsed="false">
      <c r="A121" s="8"/>
      <c r="B121" s="37"/>
      <c r="C121" s="10"/>
      <c r="D121" s="10"/>
      <c r="E121" s="38" t="str">
        <f aca="false">IFERROR(INDEX(Übungen!$B$6:$B$28,MATCH($D121,Übungen!$A$6:$A$28,0))&amp;"","")</f>
        <v/>
      </c>
      <c r="F121" s="38" t="str">
        <f aca="false">IFERROR(INDEX(Übungen!$C$6:$C$28,MATCH($D121,Übungen!$A$6:$A$28,0))&amp;"","")</f>
        <v/>
      </c>
      <c r="G121" s="8"/>
      <c r="H121" s="39"/>
      <c r="I121" s="8"/>
      <c r="J121" s="8"/>
    </row>
    <row r="122" customFormat="false" ht="15" hidden="false" customHeight="false" outlineLevel="0" collapsed="false">
      <c r="A122" s="8"/>
      <c r="B122" s="37"/>
      <c r="C122" s="10"/>
      <c r="D122" s="10"/>
      <c r="E122" s="38" t="str">
        <f aca="false">IFERROR(INDEX(Übungen!$B$6:$B$28,MATCH($D122,Übungen!$A$6:$A$28,0))&amp;"","")</f>
        <v/>
      </c>
      <c r="F122" s="38" t="str">
        <f aca="false">IFERROR(INDEX(Übungen!$C$6:$C$28,MATCH($D122,Übungen!$A$6:$A$28,0))&amp;"","")</f>
        <v/>
      </c>
      <c r="G122" s="8"/>
      <c r="H122" s="39"/>
      <c r="I122" s="8"/>
      <c r="J122" s="8"/>
    </row>
    <row r="123" customFormat="false" ht="15" hidden="false" customHeight="false" outlineLevel="0" collapsed="false">
      <c r="A123" s="8"/>
      <c r="B123" s="37"/>
      <c r="C123" s="10"/>
      <c r="D123" s="10"/>
      <c r="E123" s="38" t="str">
        <f aca="false">IFERROR(INDEX(Übungen!$B$6:$B$28,MATCH($D123,Übungen!$A$6:$A$28,0))&amp;"","")</f>
        <v/>
      </c>
      <c r="F123" s="38" t="str">
        <f aca="false">IFERROR(INDEX(Übungen!$C$6:$C$28,MATCH($D123,Übungen!$A$6:$A$28,0))&amp;"","")</f>
        <v/>
      </c>
      <c r="G123" s="8"/>
      <c r="H123" s="39"/>
      <c r="I123" s="8"/>
      <c r="J123" s="8"/>
    </row>
    <row r="124" customFormat="false" ht="15" hidden="false" customHeight="false" outlineLevel="0" collapsed="false">
      <c r="A124" s="8"/>
      <c r="B124" s="37"/>
      <c r="C124" s="10"/>
      <c r="D124" s="10"/>
      <c r="E124" s="38" t="str">
        <f aca="false">IFERROR(INDEX(Übungen!$B$6:$B$28,MATCH($D124,Übungen!$A$6:$A$28,0))&amp;"","")</f>
        <v/>
      </c>
      <c r="F124" s="38" t="str">
        <f aca="false">IFERROR(INDEX(Übungen!$C$6:$C$28,MATCH($D124,Übungen!$A$6:$A$28,0))&amp;"","")</f>
        <v/>
      </c>
      <c r="G124" s="8"/>
      <c r="H124" s="39"/>
      <c r="I124" s="8"/>
      <c r="J124" s="8"/>
    </row>
    <row r="125" customFormat="false" ht="15" hidden="false" customHeight="false" outlineLevel="0" collapsed="false">
      <c r="A125" s="8"/>
      <c r="B125" s="37"/>
      <c r="C125" s="10"/>
      <c r="D125" s="10"/>
      <c r="E125" s="38" t="str">
        <f aca="false">IFERROR(INDEX(Übungen!$B$6:$B$28,MATCH($D125,Übungen!$A$6:$A$28,0))&amp;"","")</f>
        <v/>
      </c>
      <c r="F125" s="38" t="str">
        <f aca="false">IFERROR(INDEX(Übungen!$C$6:$C$28,MATCH($D125,Übungen!$A$6:$A$28,0))&amp;"","")</f>
        <v/>
      </c>
      <c r="G125" s="8"/>
      <c r="H125" s="39"/>
      <c r="I125" s="8"/>
      <c r="J125" s="8"/>
    </row>
    <row r="126" customFormat="false" ht="15" hidden="false" customHeight="false" outlineLevel="0" collapsed="false">
      <c r="A126" s="8"/>
      <c r="B126" s="37"/>
      <c r="C126" s="10"/>
      <c r="D126" s="10"/>
      <c r="E126" s="38" t="str">
        <f aca="false">IFERROR(INDEX(Übungen!$B$6:$B$28,MATCH($D126,Übungen!$A$6:$A$28,0))&amp;"","")</f>
        <v/>
      </c>
      <c r="F126" s="38" t="str">
        <f aca="false">IFERROR(INDEX(Übungen!$C$6:$C$28,MATCH($D126,Übungen!$A$6:$A$28,0))&amp;"","")</f>
        <v/>
      </c>
      <c r="G126" s="8"/>
      <c r="H126" s="39"/>
      <c r="I126" s="8"/>
      <c r="J126" s="8"/>
    </row>
    <row r="127" customFormat="false" ht="15" hidden="false" customHeight="false" outlineLevel="0" collapsed="false">
      <c r="A127" s="8"/>
      <c r="B127" s="37"/>
      <c r="C127" s="10"/>
      <c r="D127" s="10"/>
      <c r="E127" s="38" t="str">
        <f aca="false">IFERROR(INDEX(Übungen!$B$6:$B$28,MATCH($D127,Übungen!$A$6:$A$28,0))&amp;"","")</f>
        <v/>
      </c>
      <c r="F127" s="38" t="str">
        <f aca="false">IFERROR(INDEX(Übungen!$C$6:$C$28,MATCH($D127,Übungen!$A$6:$A$28,0))&amp;"","")</f>
        <v/>
      </c>
      <c r="G127" s="8"/>
      <c r="H127" s="39"/>
      <c r="I127" s="8"/>
      <c r="J127" s="8"/>
    </row>
    <row r="128" customFormat="false" ht="15" hidden="false" customHeight="false" outlineLevel="0" collapsed="false">
      <c r="A128" s="8"/>
      <c r="B128" s="37"/>
      <c r="C128" s="10"/>
      <c r="D128" s="10"/>
      <c r="E128" s="38" t="str">
        <f aca="false">IFERROR(INDEX(Übungen!$B$6:$B$28,MATCH($D128,Übungen!$A$6:$A$28,0))&amp;"","")</f>
        <v/>
      </c>
      <c r="F128" s="38" t="str">
        <f aca="false">IFERROR(INDEX(Übungen!$C$6:$C$28,MATCH($D128,Übungen!$A$6:$A$28,0))&amp;"","")</f>
        <v/>
      </c>
      <c r="G128" s="8"/>
      <c r="H128" s="39"/>
      <c r="I128" s="8"/>
      <c r="J128" s="8"/>
    </row>
    <row r="129" customFormat="false" ht="15" hidden="false" customHeight="false" outlineLevel="0" collapsed="false">
      <c r="A129" s="8"/>
      <c r="B129" s="37"/>
      <c r="C129" s="10"/>
      <c r="D129" s="10"/>
      <c r="E129" s="38" t="str">
        <f aca="false">IFERROR(INDEX(Übungen!$B$6:$B$28,MATCH($D129,Übungen!$A$6:$A$28,0))&amp;"","")</f>
        <v/>
      </c>
      <c r="F129" s="38" t="str">
        <f aca="false">IFERROR(INDEX(Übungen!$C$6:$C$28,MATCH($D129,Übungen!$A$6:$A$28,0))&amp;"","")</f>
        <v/>
      </c>
      <c r="G129" s="8"/>
      <c r="H129" s="39"/>
      <c r="I129" s="8"/>
      <c r="J129" s="8"/>
    </row>
    <row r="130" customFormat="false" ht="15" hidden="false" customHeight="false" outlineLevel="0" collapsed="false">
      <c r="A130" s="8"/>
      <c r="B130" s="37"/>
      <c r="C130" s="10"/>
      <c r="D130" s="10"/>
      <c r="E130" s="38" t="str">
        <f aca="false">IFERROR(INDEX(Übungen!$B$6:$B$28,MATCH($D130,Übungen!$A$6:$A$28,0))&amp;"","")</f>
        <v/>
      </c>
      <c r="F130" s="38" t="str">
        <f aca="false">IFERROR(INDEX(Übungen!$C$6:$C$28,MATCH($D130,Übungen!$A$6:$A$28,0))&amp;"","")</f>
        <v/>
      </c>
      <c r="G130" s="8"/>
      <c r="H130" s="39"/>
      <c r="I130" s="8"/>
      <c r="J130" s="8"/>
    </row>
    <row r="131" customFormat="false" ht="15" hidden="false" customHeight="false" outlineLevel="0" collapsed="false">
      <c r="A131" s="8"/>
      <c r="B131" s="37"/>
      <c r="C131" s="10"/>
      <c r="D131" s="10"/>
      <c r="E131" s="38" t="str">
        <f aca="false">IFERROR(INDEX(Übungen!$B$6:$B$28,MATCH($D131,Übungen!$A$6:$A$28,0))&amp;"","")</f>
        <v/>
      </c>
      <c r="F131" s="38" t="str">
        <f aca="false">IFERROR(INDEX(Übungen!$C$6:$C$28,MATCH($D131,Übungen!$A$6:$A$28,0))&amp;"","")</f>
        <v/>
      </c>
      <c r="G131" s="8"/>
      <c r="H131" s="39"/>
      <c r="I131" s="8"/>
      <c r="J131" s="8"/>
    </row>
    <row r="132" customFormat="false" ht="15" hidden="false" customHeight="false" outlineLevel="0" collapsed="false">
      <c r="A132" s="8"/>
      <c r="B132" s="37"/>
      <c r="C132" s="10"/>
      <c r="D132" s="10"/>
      <c r="E132" s="38" t="str">
        <f aca="false">IFERROR(INDEX(Übungen!$B$6:$B$28,MATCH($D132,Übungen!$A$6:$A$28,0))&amp;"","")</f>
        <v/>
      </c>
      <c r="F132" s="38" t="str">
        <f aca="false">IFERROR(INDEX(Übungen!$C$6:$C$28,MATCH($D132,Übungen!$A$6:$A$28,0))&amp;"","")</f>
        <v/>
      </c>
      <c r="G132" s="8"/>
      <c r="H132" s="39"/>
      <c r="I132" s="8"/>
      <c r="J132" s="8"/>
    </row>
    <row r="133" customFormat="false" ht="15" hidden="false" customHeight="false" outlineLevel="0" collapsed="false">
      <c r="A133" s="8"/>
      <c r="B133" s="37"/>
      <c r="C133" s="10"/>
      <c r="D133" s="10"/>
      <c r="E133" s="38" t="str">
        <f aca="false">IFERROR(INDEX(Übungen!$B$6:$B$28,MATCH($D133,Übungen!$A$6:$A$28,0))&amp;"","")</f>
        <v/>
      </c>
      <c r="F133" s="38" t="str">
        <f aca="false">IFERROR(INDEX(Übungen!$C$6:$C$28,MATCH($D133,Übungen!$A$6:$A$28,0))&amp;"","")</f>
        <v/>
      </c>
      <c r="G133" s="8"/>
      <c r="H133" s="39"/>
      <c r="I133" s="8"/>
      <c r="J133" s="8"/>
    </row>
    <row r="134" customFormat="false" ht="15" hidden="false" customHeight="false" outlineLevel="0" collapsed="false">
      <c r="A134" s="8"/>
      <c r="B134" s="37"/>
      <c r="C134" s="10"/>
      <c r="D134" s="10"/>
      <c r="E134" s="38" t="str">
        <f aca="false">IFERROR(INDEX(Übungen!$B$6:$B$28,MATCH($D134,Übungen!$A$6:$A$28,0))&amp;"","")</f>
        <v/>
      </c>
      <c r="F134" s="38" t="str">
        <f aca="false">IFERROR(INDEX(Übungen!$C$6:$C$28,MATCH($D134,Übungen!$A$6:$A$28,0))&amp;"","")</f>
        <v/>
      </c>
      <c r="G134" s="8"/>
      <c r="H134" s="39"/>
      <c r="I134" s="8"/>
      <c r="J134" s="8"/>
    </row>
    <row r="135" customFormat="false" ht="15" hidden="false" customHeight="false" outlineLevel="0" collapsed="false">
      <c r="A135" s="8"/>
      <c r="B135" s="37"/>
      <c r="C135" s="10"/>
      <c r="D135" s="10"/>
      <c r="E135" s="38" t="str">
        <f aca="false">IFERROR(INDEX(Übungen!$B$6:$B$28,MATCH($D135,Übungen!$A$6:$A$28,0))&amp;"","")</f>
        <v/>
      </c>
      <c r="F135" s="38" t="str">
        <f aca="false">IFERROR(INDEX(Übungen!$C$6:$C$28,MATCH($D135,Übungen!$A$6:$A$28,0))&amp;"","")</f>
        <v/>
      </c>
      <c r="G135" s="8"/>
      <c r="H135" s="39"/>
      <c r="I135" s="8"/>
      <c r="J135" s="8"/>
    </row>
    <row r="136" customFormat="false" ht="15" hidden="false" customHeight="false" outlineLevel="0" collapsed="false">
      <c r="A136" s="8"/>
      <c r="B136" s="37"/>
      <c r="C136" s="10"/>
      <c r="D136" s="10"/>
      <c r="E136" s="38" t="str">
        <f aca="false">IFERROR(INDEX(Übungen!$B$6:$B$28,MATCH($D136,Übungen!$A$6:$A$28,0))&amp;"","")</f>
        <v/>
      </c>
      <c r="F136" s="38" t="str">
        <f aca="false">IFERROR(INDEX(Übungen!$C$6:$C$28,MATCH($D136,Übungen!$A$6:$A$28,0))&amp;"","")</f>
        <v/>
      </c>
      <c r="G136" s="8"/>
      <c r="H136" s="39"/>
      <c r="I136" s="8"/>
      <c r="J136" s="8"/>
    </row>
    <row r="137" customFormat="false" ht="15" hidden="false" customHeight="false" outlineLevel="0" collapsed="false">
      <c r="A137" s="8"/>
      <c r="B137" s="37"/>
      <c r="C137" s="10"/>
      <c r="D137" s="10"/>
      <c r="E137" s="38" t="str">
        <f aca="false">IFERROR(INDEX(Übungen!$B$6:$B$28,MATCH($D137,Übungen!$A$6:$A$28,0))&amp;"","")</f>
        <v/>
      </c>
      <c r="F137" s="38" t="str">
        <f aca="false">IFERROR(INDEX(Übungen!$C$6:$C$28,MATCH($D137,Übungen!$A$6:$A$28,0))&amp;"","")</f>
        <v/>
      </c>
      <c r="G137" s="8"/>
      <c r="H137" s="39"/>
      <c r="I137" s="8"/>
      <c r="J137" s="8"/>
    </row>
    <row r="138" customFormat="false" ht="15" hidden="false" customHeight="false" outlineLevel="0" collapsed="false">
      <c r="A138" s="8"/>
      <c r="B138" s="37"/>
      <c r="C138" s="10"/>
      <c r="D138" s="10"/>
      <c r="E138" s="38" t="str">
        <f aca="false">IFERROR(INDEX(Übungen!$B$6:$B$28,MATCH($D138,Übungen!$A$6:$A$28,0))&amp;"","")</f>
        <v/>
      </c>
      <c r="F138" s="38" t="str">
        <f aca="false">IFERROR(INDEX(Übungen!$C$6:$C$28,MATCH($D138,Übungen!$A$6:$A$28,0))&amp;"","")</f>
        <v/>
      </c>
      <c r="G138" s="8"/>
      <c r="H138" s="39"/>
      <c r="I138" s="8"/>
      <c r="J138" s="8"/>
    </row>
    <row r="139" customFormat="false" ht="15" hidden="false" customHeight="false" outlineLevel="0" collapsed="false">
      <c r="A139" s="8"/>
      <c r="B139" s="37"/>
      <c r="C139" s="10"/>
      <c r="D139" s="10"/>
      <c r="E139" s="38" t="str">
        <f aca="false">IFERROR(INDEX(Übungen!$B$6:$B$28,MATCH($D139,Übungen!$A$6:$A$28,0))&amp;"","")</f>
        <v/>
      </c>
      <c r="F139" s="38" t="str">
        <f aca="false">IFERROR(INDEX(Übungen!$C$6:$C$28,MATCH($D139,Übungen!$A$6:$A$28,0))&amp;"","")</f>
        <v/>
      </c>
      <c r="G139" s="8"/>
      <c r="H139" s="39"/>
      <c r="I139" s="8"/>
      <c r="J139" s="8"/>
    </row>
    <row r="140" customFormat="false" ht="15" hidden="false" customHeight="false" outlineLevel="0" collapsed="false">
      <c r="A140" s="8"/>
      <c r="B140" s="37"/>
      <c r="C140" s="10"/>
      <c r="D140" s="10"/>
      <c r="E140" s="38" t="str">
        <f aca="false">IFERROR(INDEX(Übungen!$B$6:$B$28,MATCH($D140,Übungen!$A$6:$A$28,0))&amp;"","")</f>
        <v/>
      </c>
      <c r="F140" s="38" t="str">
        <f aca="false">IFERROR(INDEX(Übungen!$C$6:$C$28,MATCH($D140,Übungen!$A$6:$A$28,0))&amp;"","")</f>
        <v/>
      </c>
      <c r="G140" s="8"/>
      <c r="H140" s="39"/>
      <c r="I140" s="8"/>
      <c r="J140" s="8"/>
    </row>
    <row r="141" customFormat="false" ht="15" hidden="false" customHeight="false" outlineLevel="0" collapsed="false">
      <c r="A141" s="8"/>
      <c r="B141" s="37"/>
      <c r="C141" s="10"/>
      <c r="D141" s="10"/>
      <c r="E141" s="38" t="str">
        <f aca="false">IFERROR(INDEX(Übungen!$B$6:$B$28,MATCH($D141,Übungen!$A$6:$A$28,0))&amp;"","")</f>
        <v/>
      </c>
      <c r="F141" s="38" t="str">
        <f aca="false">IFERROR(INDEX(Übungen!$C$6:$C$28,MATCH($D141,Übungen!$A$6:$A$28,0))&amp;"","")</f>
        <v/>
      </c>
      <c r="G141" s="8"/>
      <c r="H141" s="39"/>
      <c r="I141" s="8"/>
      <c r="J141" s="8"/>
    </row>
    <row r="142" customFormat="false" ht="15" hidden="false" customHeight="false" outlineLevel="0" collapsed="false">
      <c r="A142" s="8"/>
      <c r="B142" s="37"/>
      <c r="C142" s="10"/>
      <c r="D142" s="10"/>
      <c r="E142" s="38" t="str">
        <f aca="false">IFERROR(INDEX(Übungen!$B$6:$B$28,MATCH($D142,Übungen!$A$6:$A$28,0))&amp;"","")</f>
        <v/>
      </c>
      <c r="F142" s="38" t="str">
        <f aca="false">IFERROR(INDEX(Übungen!$C$6:$C$28,MATCH($D142,Übungen!$A$6:$A$28,0))&amp;"","")</f>
        <v/>
      </c>
      <c r="G142" s="8"/>
      <c r="H142" s="39"/>
      <c r="I142" s="8"/>
      <c r="J142" s="8"/>
    </row>
    <row r="143" customFormat="false" ht="15" hidden="false" customHeight="false" outlineLevel="0" collapsed="false">
      <c r="A143" s="8"/>
      <c r="B143" s="37"/>
      <c r="C143" s="10"/>
      <c r="D143" s="10"/>
      <c r="E143" s="38" t="str">
        <f aca="false">IFERROR(INDEX(Übungen!$B$6:$B$28,MATCH($D143,Übungen!$A$6:$A$28,0))&amp;"","")</f>
        <v/>
      </c>
      <c r="F143" s="38" t="str">
        <f aca="false">IFERROR(INDEX(Übungen!$C$6:$C$28,MATCH($D143,Übungen!$A$6:$A$28,0))&amp;"","")</f>
        <v/>
      </c>
      <c r="G143" s="8"/>
      <c r="H143" s="39"/>
      <c r="I143" s="8"/>
      <c r="J143" s="8"/>
    </row>
    <row r="144" customFormat="false" ht="15" hidden="false" customHeight="false" outlineLevel="0" collapsed="false">
      <c r="A144" s="8"/>
      <c r="B144" s="37"/>
      <c r="C144" s="10"/>
      <c r="D144" s="10"/>
      <c r="E144" s="38" t="str">
        <f aca="false">IFERROR(INDEX(Übungen!$B$6:$B$28,MATCH($D144,Übungen!$A$6:$A$28,0))&amp;"","")</f>
        <v/>
      </c>
      <c r="F144" s="38" t="str">
        <f aca="false">IFERROR(INDEX(Übungen!$C$6:$C$28,MATCH($D144,Übungen!$A$6:$A$28,0))&amp;"","")</f>
        <v/>
      </c>
      <c r="G144" s="8"/>
      <c r="H144" s="39"/>
      <c r="I144" s="8"/>
      <c r="J144" s="8"/>
    </row>
    <row r="145" customFormat="false" ht="15" hidden="false" customHeight="false" outlineLevel="0" collapsed="false">
      <c r="A145" s="8"/>
      <c r="B145" s="37"/>
      <c r="C145" s="10"/>
      <c r="D145" s="10"/>
      <c r="E145" s="38" t="str">
        <f aca="false">IFERROR(INDEX(Übungen!$B$6:$B$28,MATCH($D145,Übungen!$A$6:$A$28,0))&amp;"","")</f>
        <v/>
      </c>
      <c r="F145" s="38" t="str">
        <f aca="false">IFERROR(INDEX(Übungen!$C$6:$C$28,MATCH($D145,Übungen!$A$6:$A$28,0))&amp;"","")</f>
        <v/>
      </c>
      <c r="G145" s="8"/>
      <c r="H145" s="39"/>
      <c r="I145" s="8"/>
      <c r="J145" s="8"/>
    </row>
    <row r="146" customFormat="false" ht="15" hidden="false" customHeight="false" outlineLevel="0" collapsed="false">
      <c r="A146" s="8"/>
      <c r="B146" s="37"/>
      <c r="C146" s="10"/>
      <c r="D146" s="10"/>
      <c r="E146" s="38" t="str">
        <f aca="false">IFERROR(INDEX(Übungen!$B$6:$B$28,MATCH($D146,Übungen!$A$6:$A$28,0))&amp;"","")</f>
        <v/>
      </c>
      <c r="F146" s="38" t="str">
        <f aca="false">IFERROR(INDEX(Übungen!$C$6:$C$28,MATCH($D146,Übungen!$A$6:$A$28,0))&amp;"","")</f>
        <v/>
      </c>
      <c r="G146" s="8"/>
      <c r="H146" s="39"/>
      <c r="I146" s="8"/>
      <c r="J146" s="8"/>
    </row>
    <row r="147" customFormat="false" ht="15" hidden="false" customHeight="false" outlineLevel="0" collapsed="false">
      <c r="A147" s="8"/>
      <c r="B147" s="37"/>
      <c r="C147" s="10"/>
      <c r="D147" s="10"/>
      <c r="E147" s="38" t="str">
        <f aca="false">IFERROR(INDEX(Übungen!$B$6:$B$28,MATCH($D147,Übungen!$A$6:$A$28,0))&amp;"","")</f>
        <v/>
      </c>
      <c r="F147" s="38" t="str">
        <f aca="false">IFERROR(INDEX(Übungen!$C$6:$C$28,MATCH($D147,Übungen!$A$6:$A$28,0))&amp;"","")</f>
        <v/>
      </c>
      <c r="G147" s="8"/>
      <c r="H147" s="39"/>
      <c r="I147" s="8"/>
      <c r="J147" s="8"/>
    </row>
    <row r="148" customFormat="false" ht="15" hidden="false" customHeight="false" outlineLevel="0" collapsed="false">
      <c r="A148" s="8"/>
      <c r="B148" s="37"/>
      <c r="C148" s="10"/>
      <c r="D148" s="10"/>
      <c r="E148" s="38" t="str">
        <f aca="false">IFERROR(INDEX(Übungen!$B$6:$B$28,MATCH($D148,Übungen!$A$6:$A$28,0))&amp;"","")</f>
        <v/>
      </c>
      <c r="F148" s="38" t="str">
        <f aca="false">IFERROR(INDEX(Übungen!$C$6:$C$28,MATCH($D148,Übungen!$A$6:$A$28,0))&amp;"","")</f>
        <v/>
      </c>
      <c r="G148" s="8"/>
      <c r="H148" s="39"/>
      <c r="I148" s="8"/>
      <c r="J148" s="8"/>
    </row>
    <row r="149" customFormat="false" ht="15" hidden="false" customHeight="false" outlineLevel="0" collapsed="false">
      <c r="A149" s="8"/>
      <c r="B149" s="37"/>
      <c r="C149" s="10"/>
      <c r="D149" s="10"/>
      <c r="E149" s="38" t="str">
        <f aca="false">IFERROR(INDEX(Übungen!$B$6:$B$28,MATCH($D149,Übungen!$A$6:$A$28,0))&amp;"","")</f>
        <v/>
      </c>
      <c r="F149" s="38" t="str">
        <f aca="false">IFERROR(INDEX(Übungen!$C$6:$C$28,MATCH($D149,Übungen!$A$6:$A$28,0))&amp;"","")</f>
        <v/>
      </c>
      <c r="G149" s="8"/>
      <c r="H149" s="39"/>
      <c r="I149" s="8"/>
      <c r="J149" s="8"/>
    </row>
    <row r="150" customFormat="false" ht="15" hidden="false" customHeight="false" outlineLevel="0" collapsed="false">
      <c r="A150" s="8"/>
      <c r="B150" s="37"/>
      <c r="C150" s="10"/>
      <c r="D150" s="10"/>
      <c r="E150" s="38" t="str">
        <f aca="false">IFERROR(INDEX(Übungen!$B$6:$B$28,MATCH($D150,Übungen!$A$6:$A$28,0))&amp;"","")</f>
        <v/>
      </c>
      <c r="F150" s="38" t="str">
        <f aca="false">IFERROR(INDEX(Übungen!$C$6:$C$28,MATCH($D150,Übungen!$A$6:$A$28,0))&amp;"","")</f>
        <v/>
      </c>
      <c r="G150" s="8"/>
      <c r="H150" s="39"/>
      <c r="I150" s="8"/>
      <c r="J150" s="8"/>
    </row>
    <row r="151" customFormat="false" ht="15" hidden="false" customHeight="false" outlineLevel="0" collapsed="false">
      <c r="A151" s="8"/>
      <c r="B151" s="37"/>
      <c r="C151" s="10"/>
      <c r="D151" s="10"/>
      <c r="E151" s="38" t="str">
        <f aca="false">IFERROR(INDEX(Übungen!$B$6:$B$28,MATCH($D151,Übungen!$A$6:$A$28,0))&amp;"","")</f>
        <v/>
      </c>
      <c r="F151" s="38" t="str">
        <f aca="false">IFERROR(INDEX(Übungen!$C$6:$C$28,MATCH($D151,Übungen!$A$6:$A$28,0))&amp;"","")</f>
        <v/>
      </c>
      <c r="G151" s="8"/>
      <c r="H151" s="39"/>
      <c r="I151" s="8"/>
      <c r="J151" s="8"/>
    </row>
    <row r="152" customFormat="false" ht="15" hidden="false" customHeight="false" outlineLevel="0" collapsed="false">
      <c r="A152" s="8"/>
      <c r="B152" s="37"/>
      <c r="C152" s="10"/>
      <c r="D152" s="10"/>
      <c r="E152" s="38" t="str">
        <f aca="false">IFERROR(INDEX(Übungen!$B$6:$B$28,MATCH($D152,Übungen!$A$6:$A$28,0))&amp;"","")</f>
        <v/>
      </c>
      <c r="F152" s="38" t="str">
        <f aca="false">IFERROR(INDEX(Übungen!$C$6:$C$28,MATCH($D152,Übungen!$A$6:$A$28,0))&amp;"","")</f>
        <v/>
      </c>
      <c r="G152" s="8"/>
      <c r="H152" s="39"/>
      <c r="I152" s="8"/>
      <c r="J152" s="8"/>
    </row>
    <row r="153" customFormat="false" ht="15" hidden="false" customHeight="false" outlineLevel="0" collapsed="false">
      <c r="A153" s="8"/>
      <c r="B153" s="37"/>
      <c r="C153" s="10"/>
      <c r="D153" s="10"/>
      <c r="E153" s="38" t="str">
        <f aca="false">IFERROR(INDEX(Übungen!$B$6:$B$28,MATCH($D153,Übungen!$A$6:$A$28,0))&amp;"","")</f>
        <v/>
      </c>
      <c r="F153" s="38" t="str">
        <f aca="false">IFERROR(INDEX(Übungen!$C$6:$C$28,MATCH($D153,Übungen!$A$6:$A$28,0))&amp;"","")</f>
        <v/>
      </c>
      <c r="G153" s="8"/>
      <c r="H153" s="39"/>
      <c r="I153" s="8"/>
      <c r="J153" s="8"/>
    </row>
    <row r="154" customFormat="false" ht="15" hidden="false" customHeight="false" outlineLevel="0" collapsed="false">
      <c r="A154" s="8"/>
      <c r="B154" s="37"/>
      <c r="C154" s="10"/>
      <c r="D154" s="10"/>
      <c r="E154" s="38" t="str">
        <f aca="false">IFERROR(INDEX(Übungen!$B$6:$B$28,MATCH($D154,Übungen!$A$6:$A$28,0))&amp;"","")</f>
        <v/>
      </c>
      <c r="F154" s="38" t="str">
        <f aca="false">IFERROR(INDEX(Übungen!$C$6:$C$28,MATCH($D154,Übungen!$A$6:$A$28,0))&amp;"","")</f>
        <v/>
      </c>
      <c r="G154" s="8"/>
      <c r="H154" s="39"/>
      <c r="I154" s="8"/>
      <c r="J154" s="8"/>
    </row>
    <row r="155" customFormat="false" ht="15" hidden="false" customHeight="false" outlineLevel="0" collapsed="false">
      <c r="A155" s="8"/>
      <c r="B155" s="37"/>
      <c r="C155" s="10"/>
      <c r="D155" s="10"/>
      <c r="E155" s="38" t="str">
        <f aca="false">IFERROR(INDEX(Übungen!$B$6:$B$28,MATCH($D155,Übungen!$A$6:$A$28,0))&amp;"","")</f>
        <v/>
      </c>
      <c r="F155" s="38" t="str">
        <f aca="false">IFERROR(INDEX(Übungen!$C$6:$C$28,MATCH($D155,Übungen!$A$6:$A$28,0))&amp;"","")</f>
        <v/>
      </c>
      <c r="G155" s="8"/>
      <c r="H155" s="39"/>
      <c r="I155" s="8"/>
      <c r="J155" s="8"/>
    </row>
    <row r="156" customFormat="false" ht="15" hidden="false" customHeight="false" outlineLevel="0" collapsed="false">
      <c r="A156" s="8"/>
      <c r="B156" s="37"/>
      <c r="C156" s="10"/>
      <c r="D156" s="10"/>
      <c r="E156" s="38" t="str">
        <f aca="false">IFERROR(INDEX(Übungen!$B$6:$B$28,MATCH($D156,Übungen!$A$6:$A$28,0))&amp;"","")</f>
        <v/>
      </c>
      <c r="F156" s="38" t="str">
        <f aca="false">IFERROR(INDEX(Übungen!$C$6:$C$28,MATCH($D156,Übungen!$A$6:$A$28,0))&amp;"","")</f>
        <v/>
      </c>
      <c r="G156" s="8"/>
      <c r="H156" s="39"/>
      <c r="I156" s="8"/>
      <c r="J156" s="8"/>
    </row>
    <row r="157" customFormat="false" ht="15" hidden="false" customHeight="false" outlineLevel="0" collapsed="false">
      <c r="A157" s="8"/>
      <c r="B157" s="37"/>
      <c r="C157" s="10"/>
      <c r="D157" s="10"/>
      <c r="E157" s="38" t="str">
        <f aca="false">IFERROR(INDEX(Übungen!$B$6:$B$28,MATCH($D157,Übungen!$A$6:$A$28,0))&amp;"","")</f>
        <v/>
      </c>
      <c r="F157" s="38" t="str">
        <f aca="false">IFERROR(INDEX(Übungen!$C$6:$C$28,MATCH($D157,Übungen!$A$6:$A$28,0))&amp;"","")</f>
        <v/>
      </c>
      <c r="G157" s="8"/>
      <c r="H157" s="39"/>
      <c r="I157" s="8"/>
      <c r="J157" s="8"/>
    </row>
    <row r="158" customFormat="false" ht="15" hidden="false" customHeight="false" outlineLevel="0" collapsed="false">
      <c r="A158" s="8"/>
      <c r="B158" s="37"/>
      <c r="C158" s="10"/>
      <c r="D158" s="10"/>
      <c r="E158" s="38" t="str">
        <f aca="false">IFERROR(INDEX(Übungen!$B$6:$B$28,MATCH($D158,Übungen!$A$6:$A$28,0))&amp;"","")</f>
        <v/>
      </c>
      <c r="F158" s="38" t="str">
        <f aca="false">IFERROR(INDEX(Übungen!$C$6:$C$28,MATCH($D158,Übungen!$A$6:$A$28,0))&amp;"","")</f>
        <v/>
      </c>
      <c r="G158" s="8"/>
      <c r="H158" s="39"/>
      <c r="I158" s="8"/>
      <c r="J158" s="8"/>
    </row>
    <row r="159" customFormat="false" ht="15" hidden="false" customHeight="false" outlineLevel="0" collapsed="false">
      <c r="A159" s="8"/>
      <c r="B159" s="37"/>
      <c r="C159" s="10"/>
      <c r="D159" s="10"/>
      <c r="E159" s="38" t="str">
        <f aca="false">IFERROR(INDEX(Übungen!$B$6:$B$28,MATCH($D159,Übungen!$A$6:$A$28,0))&amp;"","")</f>
        <v/>
      </c>
      <c r="F159" s="38" t="str">
        <f aca="false">IFERROR(INDEX(Übungen!$C$6:$C$28,MATCH($D159,Übungen!$A$6:$A$28,0))&amp;"","")</f>
        <v/>
      </c>
      <c r="G159" s="8"/>
      <c r="H159" s="39"/>
      <c r="I159" s="8"/>
      <c r="J159" s="8"/>
    </row>
    <row r="160" customFormat="false" ht="15" hidden="false" customHeight="false" outlineLevel="0" collapsed="false">
      <c r="A160" s="8"/>
      <c r="B160" s="37"/>
      <c r="C160" s="10"/>
      <c r="D160" s="10"/>
      <c r="E160" s="38" t="str">
        <f aca="false">IFERROR(INDEX(Übungen!$B$6:$B$28,MATCH($D160,Übungen!$A$6:$A$28,0))&amp;"","")</f>
        <v/>
      </c>
      <c r="F160" s="38" t="str">
        <f aca="false">IFERROR(INDEX(Übungen!$C$6:$C$28,MATCH($D160,Übungen!$A$6:$A$28,0))&amp;"","")</f>
        <v/>
      </c>
      <c r="G160" s="8"/>
      <c r="H160" s="39"/>
      <c r="I160" s="8"/>
      <c r="J160" s="8"/>
    </row>
    <row r="161" customFormat="false" ht="15" hidden="false" customHeight="false" outlineLevel="0" collapsed="false">
      <c r="A161" s="8"/>
      <c r="B161" s="37"/>
      <c r="C161" s="10"/>
      <c r="D161" s="10"/>
      <c r="E161" s="38" t="str">
        <f aca="false">IFERROR(INDEX(Übungen!$B$6:$B$28,MATCH($D161,Übungen!$A$6:$A$28,0))&amp;"","")</f>
        <v/>
      </c>
      <c r="F161" s="38" t="str">
        <f aca="false">IFERROR(INDEX(Übungen!$C$6:$C$28,MATCH($D161,Übungen!$A$6:$A$28,0))&amp;"","")</f>
        <v/>
      </c>
      <c r="G161" s="8"/>
      <c r="H161" s="39"/>
      <c r="I161" s="8"/>
      <c r="J161" s="8"/>
    </row>
    <row r="162" customFormat="false" ht="15" hidden="false" customHeight="false" outlineLevel="0" collapsed="false">
      <c r="A162" s="8"/>
      <c r="B162" s="37"/>
      <c r="C162" s="10"/>
      <c r="D162" s="10"/>
      <c r="E162" s="38" t="str">
        <f aca="false">IFERROR(INDEX(Übungen!$B$6:$B$28,MATCH($D162,Übungen!$A$6:$A$28,0))&amp;"","")</f>
        <v/>
      </c>
      <c r="F162" s="38" t="str">
        <f aca="false">IFERROR(INDEX(Übungen!$C$6:$C$28,MATCH($D162,Übungen!$A$6:$A$28,0))&amp;"","")</f>
        <v/>
      </c>
      <c r="G162" s="8"/>
      <c r="H162" s="39"/>
      <c r="I162" s="8"/>
      <c r="J162" s="8"/>
    </row>
    <row r="163" customFormat="false" ht="15" hidden="false" customHeight="false" outlineLevel="0" collapsed="false">
      <c r="A163" s="8"/>
      <c r="B163" s="37"/>
      <c r="C163" s="10"/>
      <c r="D163" s="10"/>
      <c r="E163" s="38" t="str">
        <f aca="false">IFERROR(INDEX(Übungen!$B$6:$B$28,MATCH($D163,Übungen!$A$6:$A$28,0))&amp;"","")</f>
        <v/>
      </c>
      <c r="F163" s="38" t="str">
        <f aca="false">IFERROR(INDEX(Übungen!$C$6:$C$28,MATCH($D163,Übungen!$A$6:$A$28,0))&amp;"","")</f>
        <v/>
      </c>
      <c r="G163" s="8"/>
      <c r="H163" s="39"/>
      <c r="I163" s="8"/>
      <c r="J163" s="8"/>
    </row>
    <row r="164" customFormat="false" ht="15" hidden="false" customHeight="false" outlineLevel="0" collapsed="false">
      <c r="A164" s="8"/>
      <c r="B164" s="37"/>
      <c r="C164" s="10"/>
      <c r="D164" s="10"/>
      <c r="E164" s="38" t="str">
        <f aca="false">IFERROR(INDEX(Übungen!$B$6:$B$28,MATCH($D164,Übungen!$A$6:$A$28,0))&amp;"","")</f>
        <v/>
      </c>
      <c r="F164" s="38" t="str">
        <f aca="false">IFERROR(INDEX(Übungen!$C$6:$C$28,MATCH($D164,Übungen!$A$6:$A$28,0))&amp;"","")</f>
        <v/>
      </c>
      <c r="G164" s="8"/>
      <c r="H164" s="39"/>
      <c r="I164" s="8"/>
      <c r="J164" s="8"/>
    </row>
    <row r="165" customFormat="false" ht="15" hidden="false" customHeight="false" outlineLevel="0" collapsed="false">
      <c r="A165" s="8"/>
      <c r="B165" s="37"/>
      <c r="C165" s="10"/>
      <c r="D165" s="10"/>
      <c r="E165" s="38" t="str">
        <f aca="false">IFERROR(INDEX(Übungen!$B$6:$B$28,MATCH($D165,Übungen!$A$6:$A$28,0))&amp;"","")</f>
        <v/>
      </c>
      <c r="F165" s="38" t="str">
        <f aca="false">IFERROR(INDEX(Übungen!$C$6:$C$28,MATCH($D165,Übungen!$A$6:$A$28,0))&amp;"","")</f>
        <v/>
      </c>
      <c r="G165" s="8"/>
      <c r="H165" s="39"/>
      <c r="I165" s="8"/>
      <c r="J165" s="8"/>
    </row>
    <row r="166" customFormat="false" ht="15" hidden="false" customHeight="false" outlineLevel="0" collapsed="false">
      <c r="A166" s="8"/>
      <c r="B166" s="37"/>
      <c r="C166" s="10"/>
      <c r="D166" s="10"/>
      <c r="E166" s="38" t="str">
        <f aca="false">IFERROR(INDEX(Übungen!$B$6:$B$28,MATCH($D166,Übungen!$A$6:$A$28,0))&amp;"","")</f>
        <v/>
      </c>
      <c r="F166" s="38" t="str">
        <f aca="false">IFERROR(INDEX(Übungen!$C$6:$C$28,MATCH($D166,Übungen!$A$6:$A$28,0))&amp;"","")</f>
        <v/>
      </c>
      <c r="G166" s="8"/>
      <c r="H166" s="39"/>
      <c r="I166" s="8"/>
      <c r="J166" s="8"/>
    </row>
    <row r="167" customFormat="false" ht="15" hidden="false" customHeight="false" outlineLevel="0" collapsed="false">
      <c r="A167" s="8"/>
      <c r="B167" s="37"/>
      <c r="C167" s="10"/>
      <c r="D167" s="10"/>
      <c r="E167" s="38" t="str">
        <f aca="false">IFERROR(INDEX(Übungen!$B$6:$B$28,MATCH($D167,Übungen!$A$6:$A$28,0))&amp;"","")</f>
        <v/>
      </c>
      <c r="F167" s="38" t="str">
        <f aca="false">IFERROR(INDEX(Übungen!$C$6:$C$28,MATCH($D167,Übungen!$A$6:$A$28,0))&amp;"","")</f>
        <v/>
      </c>
      <c r="G167" s="8"/>
      <c r="H167" s="39"/>
      <c r="I167" s="8"/>
      <c r="J167" s="8"/>
    </row>
    <row r="168" customFormat="false" ht="15" hidden="false" customHeight="false" outlineLevel="0" collapsed="false">
      <c r="A168" s="8"/>
      <c r="B168" s="37"/>
      <c r="C168" s="10"/>
      <c r="D168" s="10"/>
      <c r="E168" s="38" t="str">
        <f aca="false">IFERROR(INDEX(Übungen!$B$6:$B$28,MATCH($D168,Übungen!$A$6:$A$28,0))&amp;"","")</f>
        <v/>
      </c>
      <c r="F168" s="38" t="str">
        <f aca="false">IFERROR(INDEX(Übungen!$C$6:$C$28,MATCH($D168,Übungen!$A$6:$A$28,0))&amp;"","")</f>
        <v/>
      </c>
      <c r="G168" s="8"/>
      <c r="H168" s="39"/>
      <c r="I168" s="8"/>
      <c r="J168" s="8"/>
    </row>
    <row r="169" customFormat="false" ht="15" hidden="false" customHeight="false" outlineLevel="0" collapsed="false">
      <c r="A169" s="8"/>
      <c r="B169" s="37"/>
      <c r="C169" s="10"/>
      <c r="D169" s="10"/>
      <c r="E169" s="38" t="str">
        <f aca="false">IFERROR(INDEX(Übungen!$B$6:$B$28,MATCH($D169,Übungen!$A$6:$A$28,0))&amp;"","")</f>
        <v/>
      </c>
      <c r="F169" s="38" t="str">
        <f aca="false">IFERROR(INDEX(Übungen!$C$6:$C$28,MATCH($D169,Übungen!$A$6:$A$28,0))&amp;"","")</f>
        <v/>
      </c>
      <c r="G169" s="8"/>
      <c r="H169" s="39"/>
      <c r="I169" s="8"/>
      <c r="J169" s="8"/>
    </row>
    <row r="170" customFormat="false" ht="15" hidden="false" customHeight="false" outlineLevel="0" collapsed="false">
      <c r="A170" s="8"/>
      <c r="B170" s="37"/>
      <c r="C170" s="10"/>
      <c r="D170" s="10"/>
      <c r="E170" s="38" t="str">
        <f aca="false">IFERROR(INDEX(Übungen!$B$6:$B$28,MATCH($D170,Übungen!$A$6:$A$28,0))&amp;"","")</f>
        <v/>
      </c>
      <c r="F170" s="38" t="str">
        <f aca="false">IFERROR(INDEX(Übungen!$C$6:$C$28,MATCH($D170,Übungen!$A$6:$A$28,0))&amp;"","")</f>
        <v/>
      </c>
      <c r="G170" s="8"/>
      <c r="H170" s="39"/>
      <c r="I170" s="8"/>
      <c r="J170" s="8"/>
    </row>
    <row r="171" customFormat="false" ht="15" hidden="false" customHeight="false" outlineLevel="0" collapsed="false">
      <c r="A171" s="8"/>
      <c r="B171" s="37"/>
      <c r="C171" s="10"/>
      <c r="D171" s="10"/>
      <c r="E171" s="38" t="str">
        <f aca="false">IFERROR(INDEX(Übungen!$B$6:$B$28,MATCH($D171,Übungen!$A$6:$A$28,0))&amp;"","")</f>
        <v/>
      </c>
      <c r="F171" s="38" t="str">
        <f aca="false">IFERROR(INDEX(Übungen!$C$6:$C$28,MATCH($D171,Übungen!$A$6:$A$28,0))&amp;"","")</f>
        <v/>
      </c>
      <c r="G171" s="8"/>
      <c r="H171" s="39"/>
      <c r="I171" s="8"/>
      <c r="J171" s="8"/>
    </row>
    <row r="172" customFormat="false" ht="15" hidden="false" customHeight="false" outlineLevel="0" collapsed="false">
      <c r="A172" s="8"/>
      <c r="B172" s="37"/>
      <c r="C172" s="10"/>
      <c r="D172" s="10"/>
      <c r="E172" s="38" t="str">
        <f aca="false">IFERROR(INDEX(Übungen!$B$6:$B$28,MATCH($D172,Übungen!$A$6:$A$28,0))&amp;"","")</f>
        <v/>
      </c>
      <c r="F172" s="38" t="str">
        <f aca="false">IFERROR(INDEX(Übungen!$C$6:$C$28,MATCH($D172,Übungen!$A$6:$A$28,0))&amp;"","")</f>
        <v/>
      </c>
      <c r="G172" s="8"/>
      <c r="H172" s="39"/>
      <c r="I172" s="8"/>
      <c r="J172" s="8"/>
    </row>
    <row r="173" customFormat="false" ht="15" hidden="false" customHeight="false" outlineLevel="0" collapsed="false">
      <c r="A173" s="8"/>
      <c r="B173" s="37"/>
      <c r="C173" s="10"/>
      <c r="D173" s="10"/>
      <c r="E173" s="38" t="str">
        <f aca="false">IFERROR(INDEX(Übungen!$B$6:$B$28,MATCH($D173,Übungen!$A$6:$A$28,0))&amp;"","")</f>
        <v/>
      </c>
      <c r="F173" s="38" t="str">
        <f aca="false">IFERROR(INDEX(Übungen!$C$6:$C$28,MATCH($D173,Übungen!$A$6:$A$28,0))&amp;"","")</f>
        <v/>
      </c>
      <c r="G173" s="8"/>
      <c r="H173" s="39"/>
      <c r="I173" s="8"/>
      <c r="J173" s="8"/>
    </row>
    <row r="174" customFormat="false" ht="15" hidden="false" customHeight="false" outlineLevel="0" collapsed="false">
      <c r="A174" s="8"/>
      <c r="B174" s="37"/>
      <c r="C174" s="10"/>
      <c r="D174" s="10"/>
      <c r="E174" s="38" t="str">
        <f aca="false">IFERROR(INDEX(Übungen!$B$6:$B$28,MATCH($D174,Übungen!$A$6:$A$28,0))&amp;"","")</f>
        <v/>
      </c>
      <c r="F174" s="38" t="str">
        <f aca="false">IFERROR(INDEX(Übungen!$C$6:$C$28,MATCH($D174,Übungen!$A$6:$A$28,0))&amp;"","")</f>
        <v/>
      </c>
      <c r="G174" s="8"/>
      <c r="H174" s="39"/>
      <c r="I174" s="8"/>
      <c r="J174" s="8"/>
    </row>
    <row r="175" customFormat="false" ht="15" hidden="false" customHeight="false" outlineLevel="0" collapsed="false">
      <c r="A175" s="8"/>
      <c r="B175" s="37"/>
      <c r="C175" s="10"/>
      <c r="D175" s="10"/>
      <c r="E175" s="38" t="str">
        <f aca="false">IFERROR(INDEX(Übungen!$B$6:$B$28,MATCH($D175,Übungen!$A$6:$A$28,0))&amp;"","")</f>
        <v/>
      </c>
      <c r="F175" s="38" t="str">
        <f aca="false">IFERROR(INDEX(Übungen!$C$6:$C$28,MATCH($D175,Übungen!$A$6:$A$28,0))&amp;"","")</f>
        <v/>
      </c>
      <c r="G175" s="8"/>
      <c r="H175" s="39"/>
      <c r="I175" s="8"/>
      <c r="J175" s="8"/>
    </row>
    <row r="176" customFormat="false" ht="15" hidden="false" customHeight="false" outlineLevel="0" collapsed="false">
      <c r="A176" s="8"/>
      <c r="B176" s="37"/>
      <c r="C176" s="10"/>
      <c r="D176" s="10"/>
      <c r="E176" s="38" t="str">
        <f aca="false">IFERROR(INDEX(Übungen!$B$6:$B$28,MATCH($D176,Übungen!$A$6:$A$28,0))&amp;"","")</f>
        <v/>
      </c>
      <c r="F176" s="38" t="str">
        <f aca="false">IFERROR(INDEX(Übungen!$C$6:$C$28,MATCH($D176,Übungen!$A$6:$A$28,0))&amp;"","")</f>
        <v/>
      </c>
      <c r="G176" s="8"/>
      <c r="H176" s="39"/>
      <c r="I176" s="8"/>
      <c r="J176" s="8"/>
    </row>
    <row r="177" customFormat="false" ht="15" hidden="false" customHeight="false" outlineLevel="0" collapsed="false">
      <c r="A177" s="8"/>
      <c r="B177" s="37"/>
      <c r="C177" s="10"/>
      <c r="D177" s="10"/>
      <c r="E177" s="38" t="str">
        <f aca="false">IFERROR(INDEX(Übungen!$B$6:$B$28,MATCH($D177,Übungen!$A$6:$A$28,0))&amp;"","")</f>
        <v/>
      </c>
      <c r="F177" s="38" t="str">
        <f aca="false">IFERROR(INDEX(Übungen!$C$6:$C$28,MATCH($D177,Übungen!$A$6:$A$28,0))&amp;"","")</f>
        <v/>
      </c>
      <c r="G177" s="8"/>
      <c r="H177" s="39"/>
      <c r="I177" s="8"/>
      <c r="J177" s="8"/>
    </row>
    <row r="178" customFormat="false" ht="15" hidden="false" customHeight="false" outlineLevel="0" collapsed="false">
      <c r="A178" s="8"/>
      <c r="B178" s="37"/>
      <c r="C178" s="10"/>
      <c r="D178" s="10"/>
      <c r="E178" s="38" t="str">
        <f aca="false">IFERROR(INDEX(Übungen!$B$6:$B$28,MATCH($D178,Übungen!$A$6:$A$28,0))&amp;"","")</f>
        <v/>
      </c>
      <c r="F178" s="38" t="str">
        <f aca="false">IFERROR(INDEX(Übungen!$C$6:$C$28,MATCH($D178,Übungen!$A$6:$A$28,0))&amp;"","")</f>
        <v/>
      </c>
      <c r="G178" s="8"/>
      <c r="H178" s="39"/>
      <c r="I178" s="8"/>
      <c r="J178" s="8"/>
    </row>
    <row r="179" customFormat="false" ht="15" hidden="false" customHeight="false" outlineLevel="0" collapsed="false">
      <c r="A179" s="8"/>
      <c r="B179" s="37"/>
      <c r="C179" s="10"/>
      <c r="D179" s="10"/>
      <c r="E179" s="38" t="str">
        <f aca="false">IFERROR(INDEX(Übungen!$B$6:$B$28,MATCH($D179,Übungen!$A$6:$A$28,0))&amp;"","")</f>
        <v/>
      </c>
      <c r="F179" s="38" t="str">
        <f aca="false">IFERROR(INDEX(Übungen!$C$6:$C$28,MATCH($D179,Übungen!$A$6:$A$28,0))&amp;"","")</f>
        <v/>
      </c>
      <c r="G179" s="8"/>
      <c r="H179" s="39"/>
      <c r="I179" s="8"/>
      <c r="J179" s="8"/>
    </row>
    <row r="180" customFormat="false" ht="15" hidden="false" customHeight="false" outlineLevel="0" collapsed="false">
      <c r="A180" s="8"/>
      <c r="B180" s="37"/>
      <c r="C180" s="10"/>
      <c r="D180" s="10"/>
      <c r="E180" s="38" t="str">
        <f aca="false">IFERROR(INDEX(Übungen!$B$6:$B$28,MATCH($D180,Übungen!$A$6:$A$28,0))&amp;"","")</f>
        <v/>
      </c>
      <c r="F180" s="38" t="str">
        <f aca="false">IFERROR(INDEX(Übungen!$C$6:$C$28,MATCH($D180,Übungen!$A$6:$A$28,0))&amp;"","")</f>
        <v/>
      </c>
      <c r="G180" s="8"/>
      <c r="H180" s="39"/>
      <c r="I180" s="8"/>
      <c r="J180" s="8"/>
    </row>
    <row r="181" customFormat="false" ht="15" hidden="false" customHeight="false" outlineLevel="0" collapsed="false">
      <c r="A181" s="8"/>
      <c r="B181" s="37"/>
      <c r="C181" s="10"/>
      <c r="D181" s="10"/>
      <c r="E181" s="38" t="str">
        <f aca="false">IFERROR(INDEX(Übungen!$B$6:$B$28,MATCH($D181,Übungen!$A$6:$A$28,0))&amp;"","")</f>
        <v/>
      </c>
      <c r="F181" s="38" t="str">
        <f aca="false">IFERROR(INDEX(Übungen!$C$6:$C$28,MATCH($D181,Übungen!$A$6:$A$28,0))&amp;"","")</f>
        <v/>
      </c>
      <c r="G181" s="8"/>
      <c r="H181" s="39"/>
      <c r="I181" s="8"/>
      <c r="J181" s="8"/>
    </row>
    <row r="182" customFormat="false" ht="15" hidden="false" customHeight="false" outlineLevel="0" collapsed="false">
      <c r="A182" s="8"/>
      <c r="B182" s="37"/>
      <c r="C182" s="10"/>
      <c r="D182" s="10"/>
      <c r="E182" s="38" t="str">
        <f aca="false">IFERROR(INDEX(Übungen!$B$6:$B$28,MATCH($D182,Übungen!$A$6:$A$28,0))&amp;"","")</f>
        <v/>
      </c>
      <c r="F182" s="38" t="str">
        <f aca="false">IFERROR(INDEX(Übungen!$C$6:$C$28,MATCH($D182,Übungen!$A$6:$A$28,0))&amp;"","")</f>
        <v/>
      </c>
      <c r="G182" s="8"/>
      <c r="H182" s="39"/>
      <c r="I182" s="8"/>
      <c r="J182" s="8"/>
    </row>
    <row r="183" customFormat="false" ht="15" hidden="false" customHeight="false" outlineLevel="0" collapsed="false">
      <c r="A183" s="8"/>
      <c r="B183" s="37"/>
      <c r="C183" s="10"/>
      <c r="D183" s="10"/>
      <c r="E183" s="38" t="str">
        <f aca="false">IFERROR(INDEX(Übungen!$B$6:$B$28,MATCH($D183,Übungen!$A$6:$A$28,0))&amp;"","")</f>
        <v/>
      </c>
      <c r="F183" s="38" t="str">
        <f aca="false">IFERROR(INDEX(Übungen!$C$6:$C$28,MATCH($D183,Übungen!$A$6:$A$28,0))&amp;"","")</f>
        <v/>
      </c>
      <c r="G183" s="8"/>
      <c r="H183" s="39"/>
      <c r="I183" s="8"/>
      <c r="J183" s="8"/>
    </row>
    <row r="184" customFormat="false" ht="15" hidden="false" customHeight="false" outlineLevel="0" collapsed="false">
      <c r="A184" s="8"/>
      <c r="B184" s="37"/>
      <c r="C184" s="10"/>
      <c r="D184" s="10"/>
      <c r="E184" s="38" t="str">
        <f aca="false">IFERROR(INDEX(Übungen!$B$6:$B$28,MATCH($D184,Übungen!$A$6:$A$28,0))&amp;"","")</f>
        <v/>
      </c>
      <c r="F184" s="38" t="str">
        <f aca="false">IFERROR(INDEX(Übungen!$C$6:$C$28,MATCH($D184,Übungen!$A$6:$A$28,0))&amp;"","")</f>
        <v/>
      </c>
      <c r="G184" s="8"/>
      <c r="H184" s="39"/>
      <c r="I184" s="8"/>
      <c r="J184" s="8"/>
    </row>
    <row r="185" customFormat="false" ht="15" hidden="false" customHeight="false" outlineLevel="0" collapsed="false">
      <c r="A185" s="8"/>
      <c r="B185" s="37"/>
      <c r="C185" s="10"/>
      <c r="D185" s="10"/>
      <c r="E185" s="38" t="str">
        <f aca="false">IFERROR(INDEX(Übungen!$B$6:$B$28,MATCH($D185,Übungen!$A$6:$A$28,0))&amp;"","")</f>
        <v/>
      </c>
      <c r="F185" s="38" t="str">
        <f aca="false">IFERROR(INDEX(Übungen!$C$6:$C$28,MATCH($D185,Übungen!$A$6:$A$28,0))&amp;"","")</f>
        <v/>
      </c>
      <c r="G185" s="8"/>
      <c r="H185" s="39"/>
      <c r="I185" s="8"/>
      <c r="J185" s="8"/>
    </row>
    <row r="186" customFormat="false" ht="15" hidden="false" customHeight="false" outlineLevel="0" collapsed="false">
      <c r="A186" s="8"/>
      <c r="B186" s="37"/>
      <c r="C186" s="10"/>
      <c r="D186" s="10"/>
      <c r="E186" s="38" t="str">
        <f aca="false">IFERROR(INDEX(Übungen!$B$6:$B$28,MATCH($D186,Übungen!$A$6:$A$28,0))&amp;"","")</f>
        <v/>
      </c>
      <c r="F186" s="38" t="str">
        <f aca="false">IFERROR(INDEX(Übungen!$C$6:$C$28,MATCH($D186,Übungen!$A$6:$A$28,0))&amp;"","")</f>
        <v/>
      </c>
      <c r="G186" s="8"/>
      <c r="H186" s="39"/>
      <c r="I186" s="8"/>
      <c r="J186" s="8"/>
    </row>
    <row r="187" customFormat="false" ht="15" hidden="false" customHeight="false" outlineLevel="0" collapsed="false">
      <c r="A187" s="8"/>
      <c r="B187" s="37"/>
      <c r="C187" s="10"/>
      <c r="D187" s="10"/>
      <c r="E187" s="38" t="str">
        <f aca="false">IFERROR(INDEX(Übungen!$B$6:$B$28,MATCH($D187,Übungen!$A$6:$A$28,0))&amp;"","")</f>
        <v/>
      </c>
      <c r="F187" s="38" t="str">
        <f aca="false">IFERROR(INDEX(Übungen!$C$6:$C$28,MATCH($D187,Übungen!$A$6:$A$28,0))&amp;"","")</f>
        <v/>
      </c>
      <c r="G187" s="8"/>
      <c r="H187" s="39"/>
      <c r="I187" s="8"/>
      <c r="J187" s="8"/>
    </row>
    <row r="188" customFormat="false" ht="15" hidden="false" customHeight="false" outlineLevel="0" collapsed="false">
      <c r="A188" s="8"/>
      <c r="B188" s="37"/>
      <c r="C188" s="10"/>
      <c r="D188" s="10"/>
      <c r="E188" s="38" t="str">
        <f aca="false">IFERROR(INDEX(Übungen!$B$6:$B$28,MATCH($D188,Übungen!$A$6:$A$28,0))&amp;"","")</f>
        <v/>
      </c>
      <c r="F188" s="38" t="str">
        <f aca="false">IFERROR(INDEX(Übungen!$C$6:$C$28,MATCH($D188,Übungen!$A$6:$A$28,0))&amp;"","")</f>
        <v/>
      </c>
      <c r="G188" s="8"/>
      <c r="H188" s="39"/>
      <c r="I188" s="8"/>
      <c r="J188" s="8"/>
    </row>
    <row r="189" customFormat="false" ht="15" hidden="false" customHeight="false" outlineLevel="0" collapsed="false">
      <c r="A189" s="8"/>
      <c r="B189" s="37"/>
      <c r="C189" s="10"/>
      <c r="D189" s="10"/>
      <c r="E189" s="38" t="str">
        <f aca="false">IFERROR(INDEX(Übungen!$B$6:$B$28,MATCH($D189,Übungen!$A$6:$A$28,0))&amp;"","")</f>
        <v/>
      </c>
      <c r="F189" s="38" t="str">
        <f aca="false">IFERROR(INDEX(Übungen!$C$6:$C$28,MATCH($D189,Übungen!$A$6:$A$28,0))&amp;"","")</f>
        <v/>
      </c>
      <c r="G189" s="8"/>
      <c r="H189" s="39"/>
      <c r="I189" s="8"/>
      <c r="J189" s="8"/>
    </row>
    <row r="190" customFormat="false" ht="15" hidden="false" customHeight="false" outlineLevel="0" collapsed="false">
      <c r="A190" s="8"/>
      <c r="B190" s="37"/>
      <c r="C190" s="10"/>
      <c r="D190" s="10"/>
      <c r="E190" s="38" t="str">
        <f aca="false">IFERROR(INDEX(Übungen!$B$6:$B$28,MATCH($D190,Übungen!$A$6:$A$28,0))&amp;"","")</f>
        <v/>
      </c>
      <c r="F190" s="38" t="str">
        <f aca="false">IFERROR(INDEX(Übungen!$C$6:$C$28,MATCH($D190,Übungen!$A$6:$A$28,0))&amp;"","")</f>
        <v/>
      </c>
      <c r="G190" s="8"/>
      <c r="H190" s="39"/>
      <c r="I190" s="8"/>
      <c r="J190" s="8"/>
    </row>
    <row r="191" customFormat="false" ht="15" hidden="false" customHeight="false" outlineLevel="0" collapsed="false">
      <c r="A191" s="8"/>
      <c r="B191" s="37"/>
      <c r="C191" s="10"/>
      <c r="D191" s="10"/>
      <c r="E191" s="38" t="str">
        <f aca="false">IFERROR(INDEX(Übungen!$B$6:$B$28,MATCH($D191,Übungen!$A$6:$A$28,0))&amp;"","")</f>
        <v/>
      </c>
      <c r="F191" s="38" t="str">
        <f aca="false">IFERROR(INDEX(Übungen!$C$6:$C$28,MATCH($D191,Übungen!$A$6:$A$28,0))&amp;"","")</f>
        <v/>
      </c>
      <c r="G191" s="8"/>
      <c r="H191" s="39"/>
      <c r="I191" s="8"/>
      <c r="J191" s="8"/>
    </row>
    <row r="192" customFormat="false" ht="15" hidden="false" customHeight="false" outlineLevel="0" collapsed="false">
      <c r="A192" s="8"/>
      <c r="B192" s="37"/>
      <c r="C192" s="10"/>
      <c r="D192" s="10"/>
      <c r="E192" s="38" t="str">
        <f aca="false">IFERROR(INDEX(Übungen!$B$6:$B$28,MATCH($D192,Übungen!$A$6:$A$28,0))&amp;"","")</f>
        <v/>
      </c>
      <c r="F192" s="38" t="str">
        <f aca="false">IFERROR(INDEX(Übungen!$C$6:$C$28,MATCH($D192,Übungen!$A$6:$A$28,0))&amp;"","")</f>
        <v/>
      </c>
      <c r="G192" s="8"/>
      <c r="H192" s="39"/>
      <c r="I192" s="8"/>
      <c r="J192" s="8"/>
    </row>
    <row r="193" customFormat="false" ht="15" hidden="false" customHeight="false" outlineLevel="0" collapsed="false">
      <c r="A193" s="8"/>
      <c r="B193" s="37"/>
      <c r="C193" s="10"/>
      <c r="D193" s="10"/>
      <c r="E193" s="38" t="str">
        <f aca="false">IFERROR(INDEX(Übungen!$B$6:$B$28,MATCH($D193,Übungen!$A$6:$A$28,0))&amp;"","")</f>
        <v/>
      </c>
      <c r="F193" s="38" t="str">
        <f aca="false">IFERROR(INDEX(Übungen!$C$6:$C$28,MATCH($D193,Übungen!$A$6:$A$28,0))&amp;"","")</f>
        <v/>
      </c>
      <c r="G193" s="8"/>
      <c r="H193" s="39"/>
      <c r="I193" s="8"/>
      <c r="J193" s="8"/>
    </row>
    <row r="194" customFormat="false" ht="15" hidden="false" customHeight="false" outlineLevel="0" collapsed="false">
      <c r="A194" s="8"/>
      <c r="B194" s="37"/>
      <c r="C194" s="10"/>
      <c r="D194" s="10"/>
      <c r="E194" s="38" t="str">
        <f aca="false">IFERROR(INDEX(Übungen!$B$6:$B$28,MATCH($D194,Übungen!$A$6:$A$28,0))&amp;"","")</f>
        <v/>
      </c>
      <c r="F194" s="38" t="str">
        <f aca="false">IFERROR(INDEX(Übungen!$C$6:$C$28,MATCH($D194,Übungen!$A$6:$A$28,0))&amp;"","")</f>
        <v/>
      </c>
      <c r="G194" s="8"/>
      <c r="H194" s="39"/>
      <c r="I194" s="8"/>
      <c r="J194" s="8"/>
    </row>
    <row r="195" customFormat="false" ht="15" hidden="false" customHeight="false" outlineLevel="0" collapsed="false">
      <c r="A195" s="8"/>
      <c r="B195" s="37"/>
      <c r="C195" s="10"/>
      <c r="D195" s="10"/>
      <c r="E195" s="38" t="str">
        <f aca="false">IFERROR(INDEX(Übungen!$B$6:$B$28,MATCH($D195,Übungen!$A$6:$A$28,0))&amp;"","")</f>
        <v/>
      </c>
      <c r="F195" s="38" t="str">
        <f aca="false">IFERROR(INDEX(Übungen!$C$6:$C$28,MATCH($D195,Übungen!$A$6:$A$28,0))&amp;"","")</f>
        <v/>
      </c>
      <c r="G195" s="8"/>
      <c r="H195" s="39"/>
      <c r="I195" s="8"/>
      <c r="J195" s="8"/>
    </row>
    <row r="196" customFormat="false" ht="15" hidden="false" customHeight="false" outlineLevel="0" collapsed="false">
      <c r="A196" s="8"/>
      <c r="B196" s="37"/>
      <c r="C196" s="10"/>
      <c r="D196" s="10"/>
      <c r="E196" s="38" t="str">
        <f aca="false">IFERROR(INDEX(Übungen!$B$6:$B$28,MATCH($D196,Übungen!$A$6:$A$28,0))&amp;"","")</f>
        <v/>
      </c>
      <c r="F196" s="38" t="str">
        <f aca="false">IFERROR(INDEX(Übungen!$C$6:$C$28,MATCH($D196,Übungen!$A$6:$A$28,0))&amp;"","")</f>
        <v/>
      </c>
      <c r="G196" s="8"/>
      <c r="H196" s="39"/>
      <c r="I196" s="8"/>
      <c r="J196" s="8"/>
    </row>
    <row r="197" customFormat="false" ht="15" hidden="false" customHeight="false" outlineLevel="0" collapsed="false">
      <c r="A197" s="8"/>
      <c r="B197" s="37"/>
      <c r="C197" s="10"/>
      <c r="D197" s="10"/>
      <c r="E197" s="38" t="str">
        <f aca="false">IFERROR(INDEX(Übungen!$B$6:$B$28,MATCH($D197,Übungen!$A$6:$A$28,0))&amp;"","")</f>
        <v/>
      </c>
      <c r="F197" s="38" t="str">
        <f aca="false">IFERROR(INDEX(Übungen!$C$6:$C$28,MATCH($D197,Übungen!$A$6:$A$28,0))&amp;"","")</f>
        <v/>
      </c>
      <c r="G197" s="8"/>
      <c r="H197" s="39"/>
      <c r="I197" s="8"/>
      <c r="J197" s="8"/>
    </row>
    <row r="198" customFormat="false" ht="15" hidden="false" customHeight="false" outlineLevel="0" collapsed="false">
      <c r="A198" s="8"/>
      <c r="B198" s="37"/>
      <c r="C198" s="10"/>
      <c r="D198" s="10"/>
      <c r="E198" s="38" t="str">
        <f aca="false">IFERROR(INDEX(Übungen!$B$6:$B$28,MATCH($D198,Übungen!$A$6:$A$28,0))&amp;"","")</f>
        <v/>
      </c>
      <c r="F198" s="38" t="str">
        <f aca="false">IFERROR(INDEX(Übungen!$C$6:$C$28,MATCH($D198,Übungen!$A$6:$A$28,0))&amp;"","")</f>
        <v/>
      </c>
      <c r="G198" s="8"/>
      <c r="H198" s="39"/>
      <c r="I198" s="8"/>
      <c r="J198" s="8"/>
    </row>
    <row r="199" customFormat="false" ht="15" hidden="false" customHeight="false" outlineLevel="0" collapsed="false">
      <c r="A199" s="8"/>
      <c r="B199" s="37"/>
      <c r="C199" s="10"/>
      <c r="D199" s="10"/>
      <c r="E199" s="38" t="str">
        <f aca="false">IFERROR(INDEX(Übungen!$B$6:$B$28,MATCH($D199,Übungen!$A$6:$A$28,0))&amp;"","")</f>
        <v/>
      </c>
      <c r="F199" s="38" t="str">
        <f aca="false">IFERROR(INDEX(Übungen!$C$6:$C$28,MATCH($D199,Übungen!$A$6:$A$28,0))&amp;"","")</f>
        <v/>
      </c>
      <c r="G199" s="8"/>
      <c r="H199" s="39"/>
      <c r="I199" s="8"/>
      <c r="J199" s="8"/>
    </row>
    <row r="200" customFormat="false" ht="15" hidden="false" customHeight="false" outlineLevel="0" collapsed="false">
      <c r="A200" s="8"/>
      <c r="B200" s="37"/>
      <c r="C200" s="10"/>
      <c r="D200" s="10"/>
      <c r="E200" s="38" t="str">
        <f aca="false">IFERROR(INDEX(Übungen!$B$6:$B$28,MATCH($D200,Übungen!$A$6:$A$28,0))&amp;"","")</f>
        <v/>
      </c>
      <c r="F200" s="38" t="str">
        <f aca="false">IFERROR(INDEX(Übungen!$C$6:$C$28,MATCH($D200,Übungen!$A$6:$A$28,0))&amp;"","")</f>
        <v/>
      </c>
      <c r="G200" s="8"/>
      <c r="H200" s="39"/>
      <c r="I200" s="8"/>
      <c r="J200" s="8"/>
    </row>
    <row r="201" customFormat="false" ht="15" hidden="false" customHeight="false" outlineLevel="0" collapsed="false">
      <c r="A201" s="8"/>
      <c r="B201" s="37"/>
      <c r="C201" s="10"/>
      <c r="D201" s="10"/>
      <c r="E201" s="38" t="str">
        <f aca="false">IFERROR(INDEX(Übungen!$B$6:$B$28,MATCH($D201,Übungen!$A$6:$A$28,0))&amp;"","")</f>
        <v/>
      </c>
      <c r="F201" s="38" t="str">
        <f aca="false">IFERROR(INDEX(Übungen!$C$6:$C$28,MATCH($D201,Übungen!$A$6:$A$28,0))&amp;"","")</f>
        <v/>
      </c>
      <c r="G201" s="8"/>
      <c r="H201" s="39"/>
      <c r="I201" s="8"/>
      <c r="J201" s="8"/>
    </row>
    <row r="202" customFormat="false" ht="15" hidden="false" customHeight="false" outlineLevel="0" collapsed="false">
      <c r="A202" s="8"/>
      <c r="B202" s="37"/>
      <c r="C202" s="10"/>
      <c r="D202" s="10"/>
      <c r="E202" s="38" t="str">
        <f aca="false">IFERROR(INDEX(Übungen!$B$6:$B$28,MATCH($D202,Übungen!$A$6:$A$28,0))&amp;"","")</f>
        <v/>
      </c>
      <c r="F202" s="38" t="str">
        <f aca="false">IFERROR(INDEX(Übungen!$C$6:$C$28,MATCH($D202,Übungen!$A$6:$A$28,0))&amp;"","")</f>
        <v/>
      </c>
      <c r="G202" s="8"/>
      <c r="H202" s="39"/>
      <c r="I202" s="8"/>
      <c r="J202" s="8"/>
    </row>
    <row r="203" customFormat="false" ht="15" hidden="false" customHeight="false" outlineLevel="0" collapsed="false">
      <c r="A203" s="8"/>
      <c r="B203" s="37"/>
      <c r="C203" s="10"/>
      <c r="D203" s="10"/>
      <c r="E203" s="38" t="str">
        <f aca="false">IFERROR(INDEX(Übungen!$B$6:$B$28,MATCH($D203,Übungen!$A$6:$A$28,0))&amp;"","")</f>
        <v/>
      </c>
      <c r="F203" s="38" t="str">
        <f aca="false">IFERROR(INDEX(Übungen!$C$6:$C$28,MATCH($D203,Übungen!$A$6:$A$28,0))&amp;"","")</f>
        <v/>
      </c>
      <c r="G203" s="8"/>
      <c r="H203" s="39"/>
      <c r="I203" s="8"/>
      <c r="J203" s="8"/>
    </row>
    <row r="204" customFormat="false" ht="15" hidden="false" customHeight="false" outlineLevel="0" collapsed="false">
      <c r="A204" s="8"/>
      <c r="B204" s="37"/>
      <c r="C204" s="10"/>
      <c r="D204" s="10"/>
      <c r="E204" s="38" t="str">
        <f aca="false">IFERROR(INDEX(Übungen!$B$6:$B$28,MATCH($D204,Übungen!$A$6:$A$28,0))&amp;"","")</f>
        <v/>
      </c>
      <c r="F204" s="38" t="str">
        <f aca="false">IFERROR(INDEX(Übungen!$C$6:$C$28,MATCH($D204,Übungen!$A$6:$A$28,0))&amp;"","")</f>
        <v/>
      </c>
      <c r="G204" s="8"/>
      <c r="H204" s="39"/>
      <c r="I204" s="8"/>
      <c r="J204" s="8"/>
    </row>
    <row r="205" customFormat="false" ht="15" hidden="false" customHeight="false" outlineLevel="0" collapsed="false">
      <c r="A205" s="8"/>
      <c r="B205" s="37"/>
      <c r="C205" s="10"/>
      <c r="D205" s="10"/>
      <c r="E205" s="38" t="str">
        <f aca="false">IFERROR(INDEX(Übungen!$B$6:$B$28,MATCH($D205,Übungen!$A$6:$A$28,0))&amp;"","")</f>
        <v/>
      </c>
      <c r="F205" s="38" t="str">
        <f aca="false">IFERROR(INDEX(Übungen!$C$6:$C$28,MATCH($D205,Übungen!$A$6:$A$28,0))&amp;"","")</f>
        <v/>
      </c>
      <c r="G205" s="8"/>
      <c r="H205" s="39"/>
      <c r="I205" s="8"/>
      <c r="J205" s="8"/>
    </row>
    <row r="206" customFormat="false" ht="15" hidden="false" customHeight="false" outlineLevel="0" collapsed="false">
      <c r="A206" s="8"/>
      <c r="B206" s="37"/>
      <c r="C206" s="10"/>
      <c r="D206" s="10"/>
      <c r="E206" s="38" t="str">
        <f aca="false">IFERROR(INDEX(Übungen!$B$6:$B$28,MATCH($D206,Übungen!$A$6:$A$28,0))&amp;"","")</f>
        <v/>
      </c>
      <c r="F206" s="38" t="str">
        <f aca="false">IFERROR(INDEX(Übungen!$C$6:$C$28,MATCH($D206,Übungen!$A$6:$A$28,0))&amp;"","")</f>
        <v/>
      </c>
      <c r="G206" s="8"/>
      <c r="H206" s="39"/>
      <c r="I206" s="8"/>
      <c r="J206" s="8"/>
    </row>
    <row r="209" customFormat="false" ht="15" hidden="false" customHeight="false" outlineLevel="0" collapsed="false">
      <c r="A209" s="15" t="s">
        <v>23</v>
      </c>
      <c r="B209" s="16"/>
      <c r="C209" s="16"/>
      <c r="D209" s="16"/>
      <c r="E209" s="16"/>
      <c r="F209" s="16"/>
      <c r="G209" s="16"/>
      <c r="H209" s="16"/>
      <c r="I209" s="16"/>
      <c r="J209" s="16"/>
    </row>
  </sheetData>
  <sheetProtection sheet="true" formatCells="false" selectLockedCells="true" selectUnlockedCells="true"/>
  <dataValidations count="1">
    <dataValidation allowBlank="true" errorStyle="stop" operator="between" showDropDown="false" showErrorMessage="false" showInputMessage="false" sqref="D7:D206" type="list">
      <formula1>Übungen!$A$6:$A$28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3" min="2" style="0" width="10"/>
    <col collapsed="false" customWidth="true" hidden="false" outlineLevel="0" max="4" min="4" style="0" width="13"/>
    <col collapsed="false" customWidth="true" hidden="false" outlineLevel="0" max="16" min="5" style="0" width="6"/>
    <col collapsed="false" customWidth="true" hidden="false" outlineLevel="0" max="17" min="17" style="0" width="10"/>
  </cols>
  <sheetData>
    <row r="1" customFormat="false" ht="25.5" hidden="false" customHeight="true" outlineLevel="0" collapsed="false">
      <c r="A1" s="1" t="s">
        <v>165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5.75" hidden="false" customHeight="true" outlineLevel="0" collapsed="false">
      <c r="A2" s="3" t="s">
        <v>166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customFormat="false" ht="15" hidden="false" customHeight="false" outlineLevel="0" collapsed="false">
      <c r="A4" s="14" t="s">
        <v>167</v>
      </c>
    </row>
    <row r="6" customFormat="false" ht="15" hidden="false" customHeight="false" outlineLevel="0" collapsed="false">
      <c r="A6" s="26" t="s">
        <v>31</v>
      </c>
      <c r="B6" s="26" t="s">
        <v>168</v>
      </c>
      <c r="C6" s="26" t="s">
        <v>169</v>
      </c>
      <c r="D6" s="26" t="s">
        <v>170</v>
      </c>
      <c r="E6" s="26" t="n">
        <v>1</v>
      </c>
      <c r="F6" s="26" t="n">
        <v>2</v>
      </c>
      <c r="G6" s="26" t="n">
        <v>3</v>
      </c>
      <c r="H6" s="26" t="n">
        <v>4</v>
      </c>
      <c r="I6" s="26" t="n">
        <v>5</v>
      </c>
      <c r="J6" s="26" t="n">
        <v>6</v>
      </c>
      <c r="K6" s="26" t="n">
        <v>7</v>
      </c>
      <c r="L6" s="26" t="n">
        <v>8</v>
      </c>
      <c r="M6" s="26" t="n">
        <v>9</v>
      </c>
      <c r="N6" s="26" t="n">
        <v>10</v>
      </c>
      <c r="O6" s="26" t="n">
        <v>11</v>
      </c>
      <c r="P6" s="26" t="n">
        <v>12</v>
      </c>
      <c r="Q6" s="26" t="s">
        <v>171</v>
      </c>
    </row>
    <row r="7" customFormat="false" ht="15" hidden="false" customHeight="false" outlineLevel="0" collapsed="false">
      <c r="A7" s="40" t="s">
        <v>39</v>
      </c>
      <c r="B7" s="38" t="n">
        <v>8</v>
      </c>
      <c r="C7" s="38" t="n">
        <v>20</v>
      </c>
      <c r="D7" s="41" t="n">
        <f aca="false">SUMIF('Dein Plan'!$B$6:$B$65,$A7,'Dein Plan'!$C$6:$C$65)+0.5*SUMIF('Dein Plan'!$G$6:$G$65,$A7,'Dein Plan'!$C$6:$C$65)</f>
        <v>16</v>
      </c>
      <c r="E7" s="42" t="n">
        <f aca="false">SUMIFS(Tracking!$G$7:$G$206,Tracking!$A$7:$A$206,E$6,Tracking!$E$7:$E$206,$A7)+0.5*SUMIFS(Tracking!$G$7:$G$206,Tracking!$A$7:$A$206,E$6,Tracking!$F$7:$F$206,$A7)</f>
        <v>3</v>
      </c>
      <c r="F7" s="42" t="n">
        <f aca="false">SUMIFS(Tracking!$G$7:$G$206,Tracking!$A$7:$A$206,F$6,Tracking!$E$7:$E$206,$A7)+0.5*SUMIFS(Tracking!$G$7:$G$206,Tracking!$A$7:$A$206,F$6,Tracking!$F$7:$F$206,$A7)</f>
        <v>0</v>
      </c>
      <c r="G7" s="42" t="n">
        <f aca="false">SUMIFS(Tracking!$G$7:$G$206,Tracking!$A$7:$A$206,G$6,Tracking!$E$7:$E$206,$A7)+0.5*SUMIFS(Tracking!$G$7:$G$206,Tracking!$A$7:$A$206,G$6,Tracking!$F$7:$F$206,$A7)</f>
        <v>0</v>
      </c>
      <c r="H7" s="42" t="n">
        <f aca="false">SUMIFS(Tracking!$G$7:$G$206,Tracking!$A$7:$A$206,H$6,Tracking!$E$7:$E$206,$A7)+0.5*SUMIFS(Tracking!$G$7:$G$206,Tracking!$A$7:$A$206,H$6,Tracking!$F$7:$F$206,$A7)</f>
        <v>0</v>
      </c>
      <c r="I7" s="42" t="n">
        <f aca="false">SUMIFS(Tracking!$G$7:$G$206,Tracking!$A$7:$A$206,I$6,Tracking!$E$7:$E$206,$A7)+0.5*SUMIFS(Tracking!$G$7:$G$206,Tracking!$A$7:$A$206,I$6,Tracking!$F$7:$F$206,$A7)</f>
        <v>0</v>
      </c>
      <c r="J7" s="42" t="n">
        <f aca="false">SUMIFS(Tracking!$G$7:$G$206,Tracking!$A$7:$A$206,J$6,Tracking!$E$7:$E$206,$A7)+0.5*SUMIFS(Tracking!$G$7:$G$206,Tracking!$A$7:$A$206,J$6,Tracking!$F$7:$F$206,$A7)</f>
        <v>0</v>
      </c>
      <c r="K7" s="42" t="n">
        <f aca="false">SUMIFS(Tracking!$G$7:$G$206,Tracking!$A$7:$A$206,K$6,Tracking!$E$7:$E$206,$A7)+0.5*SUMIFS(Tracking!$G$7:$G$206,Tracking!$A$7:$A$206,K$6,Tracking!$F$7:$F$206,$A7)</f>
        <v>0</v>
      </c>
      <c r="L7" s="42" t="n">
        <f aca="false">SUMIFS(Tracking!$G$7:$G$206,Tracking!$A$7:$A$206,L$6,Tracking!$E$7:$E$206,$A7)+0.5*SUMIFS(Tracking!$G$7:$G$206,Tracking!$A$7:$A$206,L$6,Tracking!$F$7:$F$206,$A7)</f>
        <v>0</v>
      </c>
      <c r="M7" s="42" t="n">
        <f aca="false">SUMIFS(Tracking!$G$7:$G$206,Tracking!$A$7:$A$206,M$6,Tracking!$E$7:$E$206,$A7)+0.5*SUMIFS(Tracking!$G$7:$G$206,Tracking!$A$7:$A$206,M$6,Tracking!$F$7:$F$206,$A7)</f>
        <v>0</v>
      </c>
      <c r="N7" s="42" t="n">
        <f aca="false">SUMIFS(Tracking!$G$7:$G$206,Tracking!$A$7:$A$206,N$6,Tracking!$E$7:$E$206,$A7)+0.5*SUMIFS(Tracking!$G$7:$G$206,Tracking!$A$7:$A$206,N$6,Tracking!$F$7:$F$206,$A7)</f>
        <v>0</v>
      </c>
      <c r="O7" s="42" t="n">
        <f aca="false">SUMIFS(Tracking!$G$7:$G$206,Tracking!$A$7:$A$206,O$6,Tracking!$E$7:$E$206,$A7)+0.5*SUMIFS(Tracking!$G$7:$G$206,Tracking!$A$7:$A$206,O$6,Tracking!$F$7:$F$206,$A7)</f>
        <v>0</v>
      </c>
      <c r="P7" s="42" t="n">
        <f aca="false">SUMIFS(Tracking!$G$7:$G$206,Tracking!$A$7:$A$206,P$6,Tracking!$E$7:$E$206,$A7)+0.5*SUMIFS(Tracking!$G$7:$G$206,Tracking!$A$7:$A$206,P$6,Tracking!$F$7:$F$206,$A7)</f>
        <v>0</v>
      </c>
      <c r="Q7" s="38" t="str">
        <f aca="false">IF(AND($D7&gt;=$B7,$D7&lt;=$C7),"ok","prüfen")</f>
        <v>ok</v>
      </c>
    </row>
    <row r="8" customFormat="false" ht="15" hidden="false" customHeight="false" outlineLevel="0" collapsed="false">
      <c r="A8" s="40" t="s">
        <v>52</v>
      </c>
      <c r="B8" s="38" t="n">
        <v>8</v>
      </c>
      <c r="C8" s="38" t="n">
        <v>22</v>
      </c>
      <c r="D8" s="41" t="n">
        <f aca="false">SUMIF('Dein Plan'!$B$6:$B$65,$A8,'Dein Plan'!$C$6:$C$65)+0.5*SUMIF('Dein Plan'!$G$6:$G$65,$A8,'Dein Plan'!$C$6:$C$65)</f>
        <v>16</v>
      </c>
      <c r="E8" s="42" t="n">
        <f aca="false">SUMIFS(Tracking!$G$7:$G$206,Tracking!$A$7:$A$206,E$6,Tracking!$E$7:$E$206,$A8)+0.5*SUMIFS(Tracking!$G$7:$G$206,Tracking!$A$7:$A$206,E$6,Tracking!$F$7:$F$206,$A8)</f>
        <v>0</v>
      </c>
      <c r="F8" s="42" t="n">
        <f aca="false">SUMIFS(Tracking!$G$7:$G$206,Tracking!$A$7:$A$206,F$6,Tracking!$E$7:$E$206,$A8)+0.5*SUMIFS(Tracking!$G$7:$G$206,Tracking!$A$7:$A$206,F$6,Tracking!$F$7:$F$206,$A8)</f>
        <v>0</v>
      </c>
      <c r="G8" s="42" t="n">
        <f aca="false">SUMIFS(Tracking!$G$7:$G$206,Tracking!$A$7:$A$206,G$6,Tracking!$E$7:$E$206,$A8)+0.5*SUMIFS(Tracking!$G$7:$G$206,Tracking!$A$7:$A$206,G$6,Tracking!$F$7:$F$206,$A8)</f>
        <v>0</v>
      </c>
      <c r="H8" s="42" t="n">
        <f aca="false">SUMIFS(Tracking!$G$7:$G$206,Tracking!$A$7:$A$206,H$6,Tracking!$E$7:$E$206,$A8)+0.5*SUMIFS(Tracking!$G$7:$G$206,Tracking!$A$7:$A$206,H$6,Tracking!$F$7:$F$206,$A8)</f>
        <v>0</v>
      </c>
      <c r="I8" s="42" t="n">
        <f aca="false">SUMIFS(Tracking!$G$7:$G$206,Tracking!$A$7:$A$206,I$6,Tracking!$E$7:$E$206,$A8)+0.5*SUMIFS(Tracking!$G$7:$G$206,Tracking!$A$7:$A$206,I$6,Tracking!$F$7:$F$206,$A8)</f>
        <v>0</v>
      </c>
      <c r="J8" s="42" t="n">
        <f aca="false">SUMIFS(Tracking!$G$7:$G$206,Tracking!$A$7:$A$206,J$6,Tracking!$E$7:$E$206,$A8)+0.5*SUMIFS(Tracking!$G$7:$G$206,Tracking!$A$7:$A$206,J$6,Tracking!$F$7:$F$206,$A8)</f>
        <v>0</v>
      </c>
      <c r="K8" s="42" t="n">
        <f aca="false">SUMIFS(Tracking!$G$7:$G$206,Tracking!$A$7:$A$206,K$6,Tracking!$E$7:$E$206,$A8)+0.5*SUMIFS(Tracking!$G$7:$G$206,Tracking!$A$7:$A$206,K$6,Tracking!$F$7:$F$206,$A8)</f>
        <v>0</v>
      </c>
      <c r="L8" s="42" t="n">
        <f aca="false">SUMIFS(Tracking!$G$7:$G$206,Tracking!$A$7:$A$206,L$6,Tracking!$E$7:$E$206,$A8)+0.5*SUMIFS(Tracking!$G$7:$G$206,Tracking!$A$7:$A$206,L$6,Tracking!$F$7:$F$206,$A8)</f>
        <v>0</v>
      </c>
      <c r="M8" s="42" t="n">
        <f aca="false">SUMIFS(Tracking!$G$7:$G$206,Tracking!$A$7:$A$206,M$6,Tracking!$E$7:$E$206,$A8)+0.5*SUMIFS(Tracking!$G$7:$G$206,Tracking!$A$7:$A$206,M$6,Tracking!$F$7:$F$206,$A8)</f>
        <v>0</v>
      </c>
      <c r="N8" s="42" t="n">
        <f aca="false">SUMIFS(Tracking!$G$7:$G$206,Tracking!$A$7:$A$206,N$6,Tracking!$E$7:$E$206,$A8)+0.5*SUMIFS(Tracking!$G$7:$G$206,Tracking!$A$7:$A$206,N$6,Tracking!$F$7:$F$206,$A8)</f>
        <v>0</v>
      </c>
      <c r="O8" s="42" t="n">
        <f aca="false">SUMIFS(Tracking!$G$7:$G$206,Tracking!$A$7:$A$206,O$6,Tracking!$E$7:$E$206,$A8)+0.5*SUMIFS(Tracking!$G$7:$G$206,Tracking!$A$7:$A$206,O$6,Tracking!$F$7:$F$206,$A8)</f>
        <v>0</v>
      </c>
      <c r="P8" s="42" t="n">
        <f aca="false">SUMIFS(Tracking!$G$7:$G$206,Tracking!$A$7:$A$206,P$6,Tracking!$E$7:$E$206,$A8)+0.5*SUMIFS(Tracking!$G$7:$G$206,Tracking!$A$7:$A$206,P$6,Tracking!$F$7:$F$206,$A8)</f>
        <v>0</v>
      </c>
      <c r="Q8" s="38" t="str">
        <f aca="false">IF(AND($D8&gt;=$B8,$D8&lt;=$C8),"ok","prüfen")</f>
        <v>ok</v>
      </c>
    </row>
    <row r="9" customFormat="false" ht="15" hidden="false" customHeight="false" outlineLevel="0" collapsed="false">
      <c r="A9" s="40" t="s">
        <v>67</v>
      </c>
      <c r="B9" s="38" t="n">
        <v>6</v>
      </c>
      <c r="C9" s="38" t="n">
        <v>20</v>
      </c>
      <c r="D9" s="41" t="n">
        <f aca="false">SUMIF('Dein Plan'!$B$6:$B$65,$A9,'Dein Plan'!$C$6:$C$65)+0.5*SUMIF('Dein Plan'!$G$6:$G$65,$A9,'Dein Plan'!$C$6:$C$65)</f>
        <v>8</v>
      </c>
      <c r="E9" s="42" t="n">
        <f aca="false">SUMIFS(Tracking!$G$7:$G$206,Tracking!$A$7:$A$206,E$6,Tracking!$E$7:$E$206,$A9)+0.5*SUMIFS(Tracking!$G$7:$G$206,Tracking!$A$7:$A$206,E$6,Tracking!$F$7:$F$206,$A9)</f>
        <v>0</v>
      </c>
      <c r="F9" s="42" t="n">
        <f aca="false">SUMIFS(Tracking!$G$7:$G$206,Tracking!$A$7:$A$206,F$6,Tracking!$E$7:$E$206,$A9)+0.5*SUMIFS(Tracking!$G$7:$G$206,Tracking!$A$7:$A$206,F$6,Tracking!$F$7:$F$206,$A9)</f>
        <v>0</v>
      </c>
      <c r="G9" s="42" t="n">
        <f aca="false">SUMIFS(Tracking!$G$7:$G$206,Tracking!$A$7:$A$206,G$6,Tracking!$E$7:$E$206,$A9)+0.5*SUMIFS(Tracking!$G$7:$G$206,Tracking!$A$7:$A$206,G$6,Tracking!$F$7:$F$206,$A9)</f>
        <v>0</v>
      </c>
      <c r="H9" s="42" t="n">
        <f aca="false">SUMIFS(Tracking!$G$7:$G$206,Tracking!$A$7:$A$206,H$6,Tracking!$E$7:$E$206,$A9)+0.5*SUMIFS(Tracking!$G$7:$G$206,Tracking!$A$7:$A$206,H$6,Tracking!$F$7:$F$206,$A9)</f>
        <v>0</v>
      </c>
      <c r="I9" s="42" t="n">
        <f aca="false">SUMIFS(Tracking!$G$7:$G$206,Tracking!$A$7:$A$206,I$6,Tracking!$E$7:$E$206,$A9)+0.5*SUMIFS(Tracking!$G$7:$G$206,Tracking!$A$7:$A$206,I$6,Tracking!$F$7:$F$206,$A9)</f>
        <v>0</v>
      </c>
      <c r="J9" s="42" t="n">
        <f aca="false">SUMIFS(Tracking!$G$7:$G$206,Tracking!$A$7:$A$206,J$6,Tracking!$E$7:$E$206,$A9)+0.5*SUMIFS(Tracking!$G$7:$G$206,Tracking!$A$7:$A$206,J$6,Tracking!$F$7:$F$206,$A9)</f>
        <v>0</v>
      </c>
      <c r="K9" s="42" t="n">
        <f aca="false">SUMIFS(Tracking!$G$7:$G$206,Tracking!$A$7:$A$206,K$6,Tracking!$E$7:$E$206,$A9)+0.5*SUMIFS(Tracking!$G$7:$G$206,Tracking!$A$7:$A$206,K$6,Tracking!$F$7:$F$206,$A9)</f>
        <v>0</v>
      </c>
      <c r="L9" s="42" t="n">
        <f aca="false">SUMIFS(Tracking!$G$7:$G$206,Tracking!$A$7:$A$206,L$6,Tracking!$E$7:$E$206,$A9)+0.5*SUMIFS(Tracking!$G$7:$G$206,Tracking!$A$7:$A$206,L$6,Tracking!$F$7:$F$206,$A9)</f>
        <v>0</v>
      </c>
      <c r="M9" s="42" t="n">
        <f aca="false">SUMIFS(Tracking!$G$7:$G$206,Tracking!$A$7:$A$206,M$6,Tracking!$E$7:$E$206,$A9)+0.5*SUMIFS(Tracking!$G$7:$G$206,Tracking!$A$7:$A$206,M$6,Tracking!$F$7:$F$206,$A9)</f>
        <v>0</v>
      </c>
      <c r="N9" s="42" t="n">
        <f aca="false">SUMIFS(Tracking!$G$7:$G$206,Tracking!$A$7:$A$206,N$6,Tracking!$E$7:$E$206,$A9)+0.5*SUMIFS(Tracking!$G$7:$G$206,Tracking!$A$7:$A$206,N$6,Tracking!$F$7:$F$206,$A9)</f>
        <v>0</v>
      </c>
      <c r="O9" s="42" t="n">
        <f aca="false">SUMIFS(Tracking!$G$7:$G$206,Tracking!$A$7:$A$206,O$6,Tracking!$E$7:$E$206,$A9)+0.5*SUMIFS(Tracking!$G$7:$G$206,Tracking!$A$7:$A$206,O$6,Tracking!$F$7:$F$206,$A9)</f>
        <v>0</v>
      </c>
      <c r="P9" s="42" t="n">
        <f aca="false">SUMIFS(Tracking!$G$7:$G$206,Tracking!$A$7:$A$206,P$6,Tracking!$E$7:$E$206,$A9)+0.5*SUMIFS(Tracking!$G$7:$G$206,Tracking!$A$7:$A$206,P$6,Tracking!$F$7:$F$206,$A9)</f>
        <v>0</v>
      </c>
      <c r="Q9" s="38" t="str">
        <f aca="false">IF(AND($D9&gt;=$B9,$D9&lt;=$C9),"ok","prüfen")</f>
        <v>ok</v>
      </c>
    </row>
    <row r="10" customFormat="false" ht="15" hidden="false" customHeight="false" outlineLevel="0" collapsed="false">
      <c r="A10" s="40" t="s">
        <v>53</v>
      </c>
      <c r="B10" s="38" t="n">
        <v>7</v>
      </c>
      <c r="C10" s="38" t="n">
        <v>22</v>
      </c>
      <c r="D10" s="41" t="n">
        <f aca="false">SUMIF('Dein Plan'!$B$6:$B$65,$A10,'Dein Plan'!$C$6:$C$65)+0.5*SUMIF('Dein Plan'!$G$6:$G$65,$A10,'Dein Plan'!$C$6:$C$65)</f>
        <v>16</v>
      </c>
      <c r="E10" s="42" t="n">
        <f aca="false">SUMIFS(Tracking!$G$7:$G$206,Tracking!$A$7:$A$206,E$6,Tracking!$E$7:$E$206,$A10)+0.5*SUMIFS(Tracking!$G$7:$G$206,Tracking!$A$7:$A$206,E$6,Tracking!$F$7:$F$206,$A10)</f>
        <v>0</v>
      </c>
      <c r="F10" s="42" t="n">
        <f aca="false">SUMIFS(Tracking!$G$7:$G$206,Tracking!$A$7:$A$206,F$6,Tracking!$E$7:$E$206,$A10)+0.5*SUMIFS(Tracking!$G$7:$G$206,Tracking!$A$7:$A$206,F$6,Tracking!$F$7:$F$206,$A10)</f>
        <v>0</v>
      </c>
      <c r="G10" s="42" t="n">
        <f aca="false">SUMIFS(Tracking!$G$7:$G$206,Tracking!$A$7:$A$206,G$6,Tracking!$E$7:$E$206,$A10)+0.5*SUMIFS(Tracking!$G$7:$G$206,Tracking!$A$7:$A$206,G$6,Tracking!$F$7:$F$206,$A10)</f>
        <v>0</v>
      </c>
      <c r="H10" s="42" t="n">
        <f aca="false">SUMIFS(Tracking!$G$7:$G$206,Tracking!$A$7:$A$206,H$6,Tracking!$E$7:$E$206,$A10)+0.5*SUMIFS(Tracking!$G$7:$G$206,Tracking!$A$7:$A$206,H$6,Tracking!$F$7:$F$206,$A10)</f>
        <v>0</v>
      </c>
      <c r="I10" s="42" t="n">
        <f aca="false">SUMIFS(Tracking!$G$7:$G$206,Tracking!$A$7:$A$206,I$6,Tracking!$E$7:$E$206,$A10)+0.5*SUMIFS(Tracking!$G$7:$G$206,Tracking!$A$7:$A$206,I$6,Tracking!$F$7:$F$206,$A10)</f>
        <v>0</v>
      </c>
      <c r="J10" s="42" t="n">
        <f aca="false">SUMIFS(Tracking!$G$7:$G$206,Tracking!$A$7:$A$206,J$6,Tracking!$E$7:$E$206,$A10)+0.5*SUMIFS(Tracking!$G$7:$G$206,Tracking!$A$7:$A$206,J$6,Tracking!$F$7:$F$206,$A10)</f>
        <v>0</v>
      </c>
      <c r="K10" s="42" t="n">
        <f aca="false">SUMIFS(Tracking!$G$7:$G$206,Tracking!$A$7:$A$206,K$6,Tracking!$E$7:$E$206,$A10)+0.5*SUMIFS(Tracking!$G$7:$G$206,Tracking!$A$7:$A$206,K$6,Tracking!$F$7:$F$206,$A10)</f>
        <v>0</v>
      </c>
      <c r="L10" s="42" t="n">
        <f aca="false">SUMIFS(Tracking!$G$7:$G$206,Tracking!$A$7:$A$206,L$6,Tracking!$E$7:$E$206,$A10)+0.5*SUMIFS(Tracking!$G$7:$G$206,Tracking!$A$7:$A$206,L$6,Tracking!$F$7:$F$206,$A10)</f>
        <v>0</v>
      </c>
      <c r="M10" s="42" t="n">
        <f aca="false">SUMIFS(Tracking!$G$7:$G$206,Tracking!$A$7:$A$206,M$6,Tracking!$E$7:$E$206,$A10)+0.5*SUMIFS(Tracking!$G$7:$G$206,Tracking!$A$7:$A$206,M$6,Tracking!$F$7:$F$206,$A10)</f>
        <v>0</v>
      </c>
      <c r="N10" s="42" t="n">
        <f aca="false">SUMIFS(Tracking!$G$7:$G$206,Tracking!$A$7:$A$206,N$6,Tracking!$E$7:$E$206,$A10)+0.5*SUMIFS(Tracking!$G$7:$G$206,Tracking!$A$7:$A$206,N$6,Tracking!$F$7:$F$206,$A10)</f>
        <v>0</v>
      </c>
      <c r="O10" s="42" t="n">
        <f aca="false">SUMIFS(Tracking!$G$7:$G$206,Tracking!$A$7:$A$206,O$6,Tracking!$E$7:$E$206,$A10)+0.5*SUMIFS(Tracking!$G$7:$G$206,Tracking!$A$7:$A$206,O$6,Tracking!$F$7:$F$206,$A10)</f>
        <v>0</v>
      </c>
      <c r="P10" s="42" t="n">
        <f aca="false">SUMIFS(Tracking!$G$7:$G$206,Tracking!$A$7:$A$206,P$6,Tracking!$E$7:$E$206,$A10)+0.5*SUMIFS(Tracking!$G$7:$G$206,Tracking!$A$7:$A$206,P$6,Tracking!$F$7:$F$206,$A10)</f>
        <v>0</v>
      </c>
      <c r="Q10" s="38" t="str">
        <f aca="false">IF(AND($D10&gt;=$B10,$D10&lt;=$C10),"ok","prüfen")</f>
        <v>ok</v>
      </c>
    </row>
    <row r="11" customFormat="false" ht="15" hidden="false" customHeight="false" outlineLevel="0" collapsed="false">
      <c r="A11" s="40" t="s">
        <v>40</v>
      </c>
      <c r="B11" s="38" t="n">
        <v>7</v>
      </c>
      <c r="C11" s="38" t="n">
        <v>22</v>
      </c>
      <c r="D11" s="41" t="n">
        <f aca="false">SUMIF('Dein Plan'!$B$6:$B$65,$A11,'Dein Plan'!$C$6:$C$65)+0.5*SUMIF('Dein Plan'!$G$6:$G$65,$A11,'Dein Plan'!$C$6:$C$65)</f>
        <v>16</v>
      </c>
      <c r="E11" s="42" t="n">
        <f aca="false">SUMIFS(Tracking!$G$7:$G$206,Tracking!$A$7:$A$206,E$6,Tracking!$E$7:$E$206,$A11)+0.5*SUMIFS(Tracking!$G$7:$G$206,Tracking!$A$7:$A$206,E$6,Tracking!$F$7:$F$206,$A11)</f>
        <v>1.5</v>
      </c>
      <c r="F11" s="42" t="n">
        <f aca="false">SUMIFS(Tracking!$G$7:$G$206,Tracking!$A$7:$A$206,F$6,Tracking!$E$7:$E$206,$A11)+0.5*SUMIFS(Tracking!$G$7:$G$206,Tracking!$A$7:$A$206,F$6,Tracking!$F$7:$F$206,$A11)</f>
        <v>0</v>
      </c>
      <c r="G11" s="42" t="n">
        <f aca="false">SUMIFS(Tracking!$G$7:$G$206,Tracking!$A$7:$A$206,G$6,Tracking!$E$7:$E$206,$A11)+0.5*SUMIFS(Tracking!$G$7:$G$206,Tracking!$A$7:$A$206,G$6,Tracking!$F$7:$F$206,$A11)</f>
        <v>0</v>
      </c>
      <c r="H11" s="42" t="n">
        <f aca="false">SUMIFS(Tracking!$G$7:$G$206,Tracking!$A$7:$A$206,H$6,Tracking!$E$7:$E$206,$A11)+0.5*SUMIFS(Tracking!$G$7:$G$206,Tracking!$A$7:$A$206,H$6,Tracking!$F$7:$F$206,$A11)</f>
        <v>0</v>
      </c>
      <c r="I11" s="42" t="n">
        <f aca="false">SUMIFS(Tracking!$G$7:$G$206,Tracking!$A$7:$A$206,I$6,Tracking!$E$7:$E$206,$A11)+0.5*SUMIFS(Tracking!$G$7:$G$206,Tracking!$A$7:$A$206,I$6,Tracking!$F$7:$F$206,$A11)</f>
        <v>0</v>
      </c>
      <c r="J11" s="42" t="n">
        <f aca="false">SUMIFS(Tracking!$G$7:$G$206,Tracking!$A$7:$A$206,J$6,Tracking!$E$7:$E$206,$A11)+0.5*SUMIFS(Tracking!$G$7:$G$206,Tracking!$A$7:$A$206,J$6,Tracking!$F$7:$F$206,$A11)</f>
        <v>0</v>
      </c>
      <c r="K11" s="42" t="n">
        <f aca="false">SUMIFS(Tracking!$G$7:$G$206,Tracking!$A$7:$A$206,K$6,Tracking!$E$7:$E$206,$A11)+0.5*SUMIFS(Tracking!$G$7:$G$206,Tracking!$A$7:$A$206,K$6,Tracking!$F$7:$F$206,$A11)</f>
        <v>0</v>
      </c>
      <c r="L11" s="42" t="n">
        <f aca="false">SUMIFS(Tracking!$G$7:$G$206,Tracking!$A$7:$A$206,L$6,Tracking!$E$7:$E$206,$A11)+0.5*SUMIFS(Tracking!$G$7:$G$206,Tracking!$A$7:$A$206,L$6,Tracking!$F$7:$F$206,$A11)</f>
        <v>0</v>
      </c>
      <c r="M11" s="42" t="n">
        <f aca="false">SUMIFS(Tracking!$G$7:$G$206,Tracking!$A$7:$A$206,M$6,Tracking!$E$7:$E$206,$A11)+0.5*SUMIFS(Tracking!$G$7:$G$206,Tracking!$A$7:$A$206,M$6,Tracking!$F$7:$F$206,$A11)</f>
        <v>0</v>
      </c>
      <c r="N11" s="42" t="n">
        <f aca="false">SUMIFS(Tracking!$G$7:$G$206,Tracking!$A$7:$A$206,N$6,Tracking!$E$7:$E$206,$A11)+0.5*SUMIFS(Tracking!$G$7:$G$206,Tracking!$A$7:$A$206,N$6,Tracking!$F$7:$F$206,$A11)</f>
        <v>0</v>
      </c>
      <c r="O11" s="42" t="n">
        <f aca="false">SUMIFS(Tracking!$G$7:$G$206,Tracking!$A$7:$A$206,O$6,Tracking!$E$7:$E$206,$A11)+0.5*SUMIFS(Tracking!$G$7:$G$206,Tracking!$A$7:$A$206,O$6,Tracking!$F$7:$F$206,$A11)</f>
        <v>0</v>
      </c>
      <c r="P11" s="42" t="n">
        <f aca="false">SUMIFS(Tracking!$G$7:$G$206,Tracking!$A$7:$A$206,P$6,Tracking!$E$7:$E$206,$A11)+0.5*SUMIFS(Tracking!$G$7:$G$206,Tracking!$A$7:$A$206,P$6,Tracking!$F$7:$F$206,$A11)</f>
        <v>0</v>
      </c>
      <c r="Q11" s="38" t="str">
        <f aca="false">IF(AND($D11&gt;=$B11,$D11&lt;=$C11),"ok","prüfen")</f>
        <v>ok</v>
      </c>
    </row>
    <row r="12" customFormat="false" ht="15" hidden="false" customHeight="false" outlineLevel="0" collapsed="false">
      <c r="A12" s="40" t="s">
        <v>89</v>
      </c>
      <c r="B12" s="38" t="n">
        <v>8</v>
      </c>
      <c r="C12" s="38" t="n">
        <v>20</v>
      </c>
      <c r="D12" s="41" t="n">
        <f aca="false">SUMIF('Dein Plan'!$B$6:$B$65,$A12,'Dein Plan'!$C$6:$C$65)+0.5*SUMIF('Dein Plan'!$G$6:$G$65,$A12,'Dein Plan'!$C$6:$C$65)</f>
        <v>16</v>
      </c>
      <c r="E12" s="42" t="n">
        <f aca="false">SUMIFS(Tracking!$G$7:$G$206,Tracking!$A$7:$A$206,E$6,Tracking!$E$7:$E$206,$A12)+0.5*SUMIFS(Tracking!$G$7:$G$206,Tracking!$A$7:$A$206,E$6,Tracking!$F$7:$F$206,$A12)</f>
        <v>0</v>
      </c>
      <c r="F12" s="42" t="n">
        <f aca="false">SUMIFS(Tracking!$G$7:$G$206,Tracking!$A$7:$A$206,F$6,Tracking!$E$7:$E$206,$A12)+0.5*SUMIFS(Tracking!$G$7:$G$206,Tracking!$A$7:$A$206,F$6,Tracking!$F$7:$F$206,$A12)</f>
        <v>0</v>
      </c>
      <c r="G12" s="42" t="n">
        <f aca="false">SUMIFS(Tracking!$G$7:$G$206,Tracking!$A$7:$A$206,G$6,Tracking!$E$7:$E$206,$A12)+0.5*SUMIFS(Tracking!$G$7:$G$206,Tracking!$A$7:$A$206,G$6,Tracking!$F$7:$F$206,$A12)</f>
        <v>0</v>
      </c>
      <c r="H12" s="42" t="n">
        <f aca="false">SUMIFS(Tracking!$G$7:$G$206,Tracking!$A$7:$A$206,H$6,Tracking!$E$7:$E$206,$A12)+0.5*SUMIFS(Tracking!$G$7:$G$206,Tracking!$A$7:$A$206,H$6,Tracking!$F$7:$F$206,$A12)</f>
        <v>0</v>
      </c>
      <c r="I12" s="42" t="n">
        <f aca="false">SUMIFS(Tracking!$G$7:$G$206,Tracking!$A$7:$A$206,I$6,Tracking!$E$7:$E$206,$A12)+0.5*SUMIFS(Tracking!$G$7:$G$206,Tracking!$A$7:$A$206,I$6,Tracking!$F$7:$F$206,$A12)</f>
        <v>0</v>
      </c>
      <c r="J12" s="42" t="n">
        <f aca="false">SUMIFS(Tracking!$G$7:$G$206,Tracking!$A$7:$A$206,J$6,Tracking!$E$7:$E$206,$A12)+0.5*SUMIFS(Tracking!$G$7:$G$206,Tracking!$A$7:$A$206,J$6,Tracking!$F$7:$F$206,$A12)</f>
        <v>0</v>
      </c>
      <c r="K12" s="42" t="n">
        <f aca="false">SUMIFS(Tracking!$G$7:$G$206,Tracking!$A$7:$A$206,K$6,Tracking!$E$7:$E$206,$A12)+0.5*SUMIFS(Tracking!$G$7:$G$206,Tracking!$A$7:$A$206,K$6,Tracking!$F$7:$F$206,$A12)</f>
        <v>0</v>
      </c>
      <c r="L12" s="42" t="n">
        <f aca="false">SUMIFS(Tracking!$G$7:$G$206,Tracking!$A$7:$A$206,L$6,Tracking!$E$7:$E$206,$A12)+0.5*SUMIFS(Tracking!$G$7:$G$206,Tracking!$A$7:$A$206,L$6,Tracking!$F$7:$F$206,$A12)</f>
        <v>0</v>
      </c>
      <c r="M12" s="42" t="n">
        <f aca="false">SUMIFS(Tracking!$G$7:$G$206,Tracking!$A$7:$A$206,M$6,Tracking!$E$7:$E$206,$A12)+0.5*SUMIFS(Tracking!$G$7:$G$206,Tracking!$A$7:$A$206,M$6,Tracking!$F$7:$F$206,$A12)</f>
        <v>0</v>
      </c>
      <c r="N12" s="42" t="n">
        <f aca="false">SUMIFS(Tracking!$G$7:$G$206,Tracking!$A$7:$A$206,N$6,Tracking!$E$7:$E$206,$A12)+0.5*SUMIFS(Tracking!$G$7:$G$206,Tracking!$A$7:$A$206,N$6,Tracking!$F$7:$F$206,$A12)</f>
        <v>0</v>
      </c>
      <c r="O12" s="42" t="n">
        <f aca="false">SUMIFS(Tracking!$G$7:$G$206,Tracking!$A$7:$A$206,O$6,Tracking!$E$7:$E$206,$A12)+0.5*SUMIFS(Tracking!$G$7:$G$206,Tracking!$A$7:$A$206,O$6,Tracking!$F$7:$F$206,$A12)</f>
        <v>0</v>
      </c>
      <c r="P12" s="42" t="n">
        <f aca="false">SUMIFS(Tracking!$G$7:$G$206,Tracking!$A$7:$A$206,P$6,Tracking!$E$7:$E$206,$A12)+0.5*SUMIFS(Tracking!$G$7:$G$206,Tracking!$A$7:$A$206,P$6,Tracking!$F$7:$F$206,$A12)</f>
        <v>0</v>
      </c>
      <c r="Q12" s="38" t="str">
        <f aca="false">IF(AND($D12&gt;=$B12,$D12&lt;=$C12),"ok","prüfen")</f>
        <v>ok</v>
      </c>
    </row>
    <row r="13" customFormat="false" ht="15" hidden="false" customHeight="false" outlineLevel="0" collapsed="false">
      <c r="A13" s="40" t="s">
        <v>100</v>
      </c>
      <c r="B13" s="38" t="n">
        <v>7</v>
      </c>
      <c r="C13" s="38" t="n">
        <v>20</v>
      </c>
      <c r="D13" s="41" t="n">
        <f aca="false">SUMIF('Dein Plan'!$B$6:$B$65,$A13,'Dein Plan'!$C$6:$C$65)+0.5*SUMIF('Dein Plan'!$G$6:$G$65,$A13,'Dein Plan'!$C$6:$C$65)</f>
        <v>20</v>
      </c>
      <c r="E13" s="42" t="n">
        <f aca="false">SUMIFS(Tracking!$G$7:$G$206,Tracking!$A$7:$A$206,E$6,Tracking!$E$7:$E$206,$A13)+0.5*SUMIFS(Tracking!$G$7:$G$206,Tracking!$A$7:$A$206,E$6,Tracking!$F$7:$F$206,$A13)</f>
        <v>0</v>
      </c>
      <c r="F13" s="42" t="n">
        <f aca="false">SUMIFS(Tracking!$G$7:$G$206,Tracking!$A$7:$A$206,F$6,Tracking!$E$7:$E$206,$A13)+0.5*SUMIFS(Tracking!$G$7:$G$206,Tracking!$A$7:$A$206,F$6,Tracking!$F$7:$F$206,$A13)</f>
        <v>0</v>
      </c>
      <c r="G13" s="42" t="n">
        <f aca="false">SUMIFS(Tracking!$G$7:$G$206,Tracking!$A$7:$A$206,G$6,Tracking!$E$7:$E$206,$A13)+0.5*SUMIFS(Tracking!$G$7:$G$206,Tracking!$A$7:$A$206,G$6,Tracking!$F$7:$F$206,$A13)</f>
        <v>0</v>
      </c>
      <c r="H13" s="42" t="n">
        <f aca="false">SUMIFS(Tracking!$G$7:$G$206,Tracking!$A$7:$A$206,H$6,Tracking!$E$7:$E$206,$A13)+0.5*SUMIFS(Tracking!$G$7:$G$206,Tracking!$A$7:$A$206,H$6,Tracking!$F$7:$F$206,$A13)</f>
        <v>0</v>
      </c>
      <c r="I13" s="42" t="n">
        <f aca="false">SUMIFS(Tracking!$G$7:$G$206,Tracking!$A$7:$A$206,I$6,Tracking!$E$7:$E$206,$A13)+0.5*SUMIFS(Tracking!$G$7:$G$206,Tracking!$A$7:$A$206,I$6,Tracking!$F$7:$F$206,$A13)</f>
        <v>0</v>
      </c>
      <c r="J13" s="42" t="n">
        <f aca="false">SUMIFS(Tracking!$G$7:$G$206,Tracking!$A$7:$A$206,J$6,Tracking!$E$7:$E$206,$A13)+0.5*SUMIFS(Tracking!$G$7:$G$206,Tracking!$A$7:$A$206,J$6,Tracking!$F$7:$F$206,$A13)</f>
        <v>0</v>
      </c>
      <c r="K13" s="42" t="n">
        <f aca="false">SUMIFS(Tracking!$G$7:$G$206,Tracking!$A$7:$A$206,K$6,Tracking!$E$7:$E$206,$A13)+0.5*SUMIFS(Tracking!$G$7:$G$206,Tracking!$A$7:$A$206,K$6,Tracking!$F$7:$F$206,$A13)</f>
        <v>0</v>
      </c>
      <c r="L13" s="42" t="n">
        <f aca="false">SUMIFS(Tracking!$G$7:$G$206,Tracking!$A$7:$A$206,L$6,Tracking!$E$7:$E$206,$A13)+0.5*SUMIFS(Tracking!$G$7:$G$206,Tracking!$A$7:$A$206,L$6,Tracking!$F$7:$F$206,$A13)</f>
        <v>0</v>
      </c>
      <c r="M13" s="42" t="n">
        <f aca="false">SUMIFS(Tracking!$G$7:$G$206,Tracking!$A$7:$A$206,M$6,Tracking!$E$7:$E$206,$A13)+0.5*SUMIFS(Tracking!$G$7:$G$206,Tracking!$A$7:$A$206,M$6,Tracking!$F$7:$F$206,$A13)</f>
        <v>0</v>
      </c>
      <c r="N13" s="42" t="n">
        <f aca="false">SUMIFS(Tracking!$G$7:$G$206,Tracking!$A$7:$A$206,N$6,Tracking!$E$7:$E$206,$A13)+0.5*SUMIFS(Tracking!$G$7:$G$206,Tracking!$A$7:$A$206,N$6,Tracking!$F$7:$F$206,$A13)</f>
        <v>0</v>
      </c>
      <c r="O13" s="42" t="n">
        <f aca="false">SUMIFS(Tracking!$G$7:$G$206,Tracking!$A$7:$A$206,O$6,Tracking!$E$7:$E$206,$A13)+0.5*SUMIFS(Tracking!$G$7:$G$206,Tracking!$A$7:$A$206,O$6,Tracking!$F$7:$F$206,$A13)</f>
        <v>0</v>
      </c>
      <c r="P13" s="42" t="n">
        <f aca="false">SUMIFS(Tracking!$G$7:$G$206,Tracking!$A$7:$A$206,P$6,Tracking!$E$7:$E$206,$A13)+0.5*SUMIFS(Tracking!$G$7:$G$206,Tracking!$A$7:$A$206,P$6,Tracking!$F$7:$F$206,$A13)</f>
        <v>0</v>
      </c>
      <c r="Q13" s="38" t="str">
        <f aca="false">IF(AND($D13&gt;=$B13,$D13&lt;=$C13),"ok","prüfen")</f>
        <v>ok</v>
      </c>
    </row>
    <row r="14" customFormat="false" ht="15" hidden="false" customHeight="false" outlineLevel="0" collapsed="false">
      <c r="A14" s="40" t="s">
        <v>90</v>
      </c>
      <c r="B14" s="38" t="n">
        <v>5</v>
      </c>
      <c r="C14" s="38" t="n">
        <v>20</v>
      </c>
      <c r="D14" s="41" t="n">
        <f aca="false">SUMIF('Dein Plan'!$B$6:$B$65,$A14,'Dein Plan'!$C$6:$C$65)+0.5*SUMIF('Dein Plan'!$G$6:$G$65,$A14,'Dein Plan'!$C$6:$C$65)</f>
        <v>20</v>
      </c>
      <c r="E14" s="42" t="n">
        <f aca="false">SUMIFS(Tracking!$G$7:$G$206,Tracking!$A$7:$A$206,E$6,Tracking!$E$7:$E$206,$A14)+0.5*SUMIFS(Tracking!$G$7:$G$206,Tracking!$A$7:$A$206,E$6,Tracking!$F$7:$F$206,$A14)</f>
        <v>0</v>
      </c>
      <c r="F14" s="42" t="n">
        <f aca="false">SUMIFS(Tracking!$G$7:$G$206,Tracking!$A$7:$A$206,F$6,Tracking!$E$7:$E$206,$A14)+0.5*SUMIFS(Tracking!$G$7:$G$206,Tracking!$A$7:$A$206,F$6,Tracking!$F$7:$F$206,$A14)</f>
        <v>0</v>
      </c>
      <c r="G14" s="42" t="n">
        <f aca="false">SUMIFS(Tracking!$G$7:$G$206,Tracking!$A$7:$A$206,G$6,Tracking!$E$7:$E$206,$A14)+0.5*SUMIFS(Tracking!$G$7:$G$206,Tracking!$A$7:$A$206,G$6,Tracking!$F$7:$F$206,$A14)</f>
        <v>0</v>
      </c>
      <c r="H14" s="42" t="n">
        <f aca="false">SUMIFS(Tracking!$G$7:$G$206,Tracking!$A$7:$A$206,H$6,Tracking!$E$7:$E$206,$A14)+0.5*SUMIFS(Tracking!$G$7:$G$206,Tracking!$A$7:$A$206,H$6,Tracking!$F$7:$F$206,$A14)</f>
        <v>0</v>
      </c>
      <c r="I14" s="42" t="n">
        <f aca="false">SUMIFS(Tracking!$G$7:$G$206,Tracking!$A$7:$A$206,I$6,Tracking!$E$7:$E$206,$A14)+0.5*SUMIFS(Tracking!$G$7:$G$206,Tracking!$A$7:$A$206,I$6,Tracking!$F$7:$F$206,$A14)</f>
        <v>0</v>
      </c>
      <c r="J14" s="42" t="n">
        <f aca="false">SUMIFS(Tracking!$G$7:$G$206,Tracking!$A$7:$A$206,J$6,Tracking!$E$7:$E$206,$A14)+0.5*SUMIFS(Tracking!$G$7:$G$206,Tracking!$A$7:$A$206,J$6,Tracking!$F$7:$F$206,$A14)</f>
        <v>0</v>
      </c>
      <c r="K14" s="42" t="n">
        <f aca="false">SUMIFS(Tracking!$G$7:$G$206,Tracking!$A$7:$A$206,K$6,Tracking!$E$7:$E$206,$A14)+0.5*SUMIFS(Tracking!$G$7:$G$206,Tracking!$A$7:$A$206,K$6,Tracking!$F$7:$F$206,$A14)</f>
        <v>0</v>
      </c>
      <c r="L14" s="42" t="n">
        <f aca="false">SUMIFS(Tracking!$G$7:$G$206,Tracking!$A$7:$A$206,L$6,Tracking!$E$7:$E$206,$A14)+0.5*SUMIFS(Tracking!$G$7:$G$206,Tracking!$A$7:$A$206,L$6,Tracking!$F$7:$F$206,$A14)</f>
        <v>0</v>
      </c>
      <c r="M14" s="42" t="n">
        <f aca="false">SUMIFS(Tracking!$G$7:$G$206,Tracking!$A$7:$A$206,M$6,Tracking!$E$7:$E$206,$A14)+0.5*SUMIFS(Tracking!$G$7:$G$206,Tracking!$A$7:$A$206,M$6,Tracking!$F$7:$F$206,$A14)</f>
        <v>0</v>
      </c>
      <c r="N14" s="42" t="n">
        <f aca="false">SUMIFS(Tracking!$G$7:$G$206,Tracking!$A$7:$A$206,N$6,Tracking!$E$7:$E$206,$A14)+0.5*SUMIFS(Tracking!$G$7:$G$206,Tracking!$A$7:$A$206,N$6,Tracking!$F$7:$F$206,$A14)</f>
        <v>0</v>
      </c>
      <c r="O14" s="42" t="n">
        <f aca="false">SUMIFS(Tracking!$G$7:$G$206,Tracking!$A$7:$A$206,O$6,Tracking!$E$7:$E$206,$A14)+0.5*SUMIFS(Tracking!$G$7:$G$206,Tracking!$A$7:$A$206,O$6,Tracking!$F$7:$F$206,$A14)</f>
        <v>0</v>
      </c>
      <c r="P14" s="42" t="n">
        <f aca="false">SUMIFS(Tracking!$G$7:$G$206,Tracking!$A$7:$A$206,P$6,Tracking!$E$7:$E$206,$A14)+0.5*SUMIFS(Tracking!$G$7:$G$206,Tracking!$A$7:$A$206,P$6,Tracking!$F$7:$F$206,$A14)</f>
        <v>0</v>
      </c>
      <c r="Q14" s="38" t="str">
        <f aca="false">IF(AND($D14&gt;=$B14,$D14&lt;=$C14),"ok","prüfen")</f>
        <v>ok</v>
      </c>
    </row>
    <row r="15" customFormat="false" ht="15" hidden="false" customHeight="false" outlineLevel="0" collapsed="false">
      <c r="A15" s="40" t="s">
        <v>112</v>
      </c>
      <c r="B15" s="38" t="n">
        <v>3</v>
      </c>
      <c r="C15" s="38" t="n">
        <v>12</v>
      </c>
      <c r="D15" s="41" t="n">
        <f aca="false">SUMIF('Dein Plan'!$B$6:$B$65,$A15,'Dein Plan'!$C$6:$C$65)+0.5*SUMIF('Dein Plan'!$G$6:$G$65,$A15,'Dein Plan'!$C$6:$C$65)</f>
        <v>8</v>
      </c>
      <c r="E15" s="42" t="n">
        <f aca="false">SUMIFS(Tracking!$G$7:$G$206,Tracking!$A$7:$A$206,E$6,Tracking!$E$7:$E$206,$A15)+0.5*SUMIFS(Tracking!$G$7:$G$206,Tracking!$A$7:$A$206,E$6,Tracking!$F$7:$F$206,$A15)</f>
        <v>0</v>
      </c>
      <c r="F15" s="42" t="n">
        <f aca="false">SUMIFS(Tracking!$G$7:$G$206,Tracking!$A$7:$A$206,F$6,Tracking!$E$7:$E$206,$A15)+0.5*SUMIFS(Tracking!$G$7:$G$206,Tracking!$A$7:$A$206,F$6,Tracking!$F$7:$F$206,$A15)</f>
        <v>0</v>
      </c>
      <c r="G15" s="42" t="n">
        <f aca="false">SUMIFS(Tracking!$G$7:$G$206,Tracking!$A$7:$A$206,G$6,Tracking!$E$7:$E$206,$A15)+0.5*SUMIFS(Tracking!$G$7:$G$206,Tracking!$A$7:$A$206,G$6,Tracking!$F$7:$F$206,$A15)</f>
        <v>0</v>
      </c>
      <c r="H15" s="42" t="n">
        <f aca="false">SUMIFS(Tracking!$G$7:$G$206,Tracking!$A$7:$A$206,H$6,Tracking!$E$7:$E$206,$A15)+0.5*SUMIFS(Tracking!$G$7:$G$206,Tracking!$A$7:$A$206,H$6,Tracking!$F$7:$F$206,$A15)</f>
        <v>0</v>
      </c>
      <c r="I15" s="42" t="n">
        <f aca="false">SUMIFS(Tracking!$G$7:$G$206,Tracking!$A$7:$A$206,I$6,Tracking!$E$7:$E$206,$A15)+0.5*SUMIFS(Tracking!$G$7:$G$206,Tracking!$A$7:$A$206,I$6,Tracking!$F$7:$F$206,$A15)</f>
        <v>0</v>
      </c>
      <c r="J15" s="42" t="n">
        <f aca="false">SUMIFS(Tracking!$G$7:$G$206,Tracking!$A$7:$A$206,J$6,Tracking!$E$7:$E$206,$A15)+0.5*SUMIFS(Tracking!$G$7:$G$206,Tracking!$A$7:$A$206,J$6,Tracking!$F$7:$F$206,$A15)</f>
        <v>0</v>
      </c>
      <c r="K15" s="42" t="n">
        <f aca="false">SUMIFS(Tracking!$G$7:$G$206,Tracking!$A$7:$A$206,K$6,Tracking!$E$7:$E$206,$A15)+0.5*SUMIFS(Tracking!$G$7:$G$206,Tracking!$A$7:$A$206,K$6,Tracking!$F$7:$F$206,$A15)</f>
        <v>0</v>
      </c>
      <c r="L15" s="42" t="n">
        <f aca="false">SUMIFS(Tracking!$G$7:$G$206,Tracking!$A$7:$A$206,L$6,Tracking!$E$7:$E$206,$A15)+0.5*SUMIFS(Tracking!$G$7:$G$206,Tracking!$A$7:$A$206,L$6,Tracking!$F$7:$F$206,$A15)</f>
        <v>0</v>
      </c>
      <c r="M15" s="42" t="n">
        <f aca="false">SUMIFS(Tracking!$G$7:$G$206,Tracking!$A$7:$A$206,M$6,Tracking!$E$7:$E$206,$A15)+0.5*SUMIFS(Tracking!$G$7:$G$206,Tracking!$A$7:$A$206,M$6,Tracking!$F$7:$F$206,$A15)</f>
        <v>0</v>
      </c>
      <c r="N15" s="42" t="n">
        <f aca="false">SUMIFS(Tracking!$G$7:$G$206,Tracking!$A$7:$A$206,N$6,Tracking!$E$7:$E$206,$A15)+0.5*SUMIFS(Tracking!$G$7:$G$206,Tracking!$A$7:$A$206,N$6,Tracking!$F$7:$F$206,$A15)</f>
        <v>0</v>
      </c>
      <c r="O15" s="42" t="n">
        <f aca="false">SUMIFS(Tracking!$G$7:$G$206,Tracking!$A$7:$A$206,O$6,Tracking!$E$7:$E$206,$A15)+0.5*SUMIFS(Tracking!$G$7:$G$206,Tracking!$A$7:$A$206,O$6,Tracking!$F$7:$F$206,$A15)</f>
        <v>0</v>
      </c>
      <c r="P15" s="42" t="n">
        <f aca="false">SUMIFS(Tracking!$G$7:$G$206,Tracking!$A$7:$A$206,P$6,Tracking!$E$7:$E$206,$A15)+0.5*SUMIFS(Tracking!$G$7:$G$206,Tracking!$A$7:$A$206,P$6,Tracking!$F$7:$F$206,$A15)</f>
        <v>0</v>
      </c>
      <c r="Q15" s="38" t="str">
        <f aca="false">IF(AND($D15&gt;=$B15,$D15&lt;=$C15),"ok","prüfen")</f>
        <v>ok</v>
      </c>
    </row>
    <row r="16" customFormat="false" ht="15" hidden="false" customHeight="false" outlineLevel="0" collapsed="false">
      <c r="A16" s="40" t="s">
        <v>116</v>
      </c>
      <c r="B16" s="38" t="n">
        <v>3</v>
      </c>
      <c r="C16" s="38" t="n">
        <v>12</v>
      </c>
      <c r="D16" s="41" t="n">
        <f aca="false">SUMIF('Dein Plan'!$B$6:$B$65,$A16,'Dein Plan'!$C$6:$C$65)+0.5*SUMIF('Dein Plan'!$G$6:$G$65,$A16,'Dein Plan'!$C$6:$C$65)</f>
        <v>8</v>
      </c>
      <c r="E16" s="42" t="n">
        <f aca="false">SUMIFS(Tracking!$G$7:$G$206,Tracking!$A$7:$A$206,E$6,Tracking!$E$7:$E$206,$A16)+0.5*SUMIFS(Tracking!$G$7:$G$206,Tracking!$A$7:$A$206,E$6,Tracking!$F$7:$F$206,$A16)</f>
        <v>0</v>
      </c>
      <c r="F16" s="42" t="n">
        <f aca="false">SUMIFS(Tracking!$G$7:$G$206,Tracking!$A$7:$A$206,F$6,Tracking!$E$7:$E$206,$A16)+0.5*SUMIFS(Tracking!$G$7:$G$206,Tracking!$A$7:$A$206,F$6,Tracking!$F$7:$F$206,$A16)</f>
        <v>0</v>
      </c>
      <c r="G16" s="42" t="n">
        <f aca="false">SUMIFS(Tracking!$G$7:$G$206,Tracking!$A$7:$A$206,G$6,Tracking!$E$7:$E$206,$A16)+0.5*SUMIFS(Tracking!$G$7:$G$206,Tracking!$A$7:$A$206,G$6,Tracking!$F$7:$F$206,$A16)</f>
        <v>0</v>
      </c>
      <c r="H16" s="42" t="n">
        <f aca="false">SUMIFS(Tracking!$G$7:$G$206,Tracking!$A$7:$A$206,H$6,Tracking!$E$7:$E$206,$A16)+0.5*SUMIFS(Tracking!$G$7:$G$206,Tracking!$A$7:$A$206,H$6,Tracking!$F$7:$F$206,$A16)</f>
        <v>0</v>
      </c>
      <c r="I16" s="42" t="n">
        <f aca="false">SUMIFS(Tracking!$G$7:$G$206,Tracking!$A$7:$A$206,I$6,Tracking!$E$7:$E$206,$A16)+0.5*SUMIFS(Tracking!$G$7:$G$206,Tracking!$A$7:$A$206,I$6,Tracking!$F$7:$F$206,$A16)</f>
        <v>0</v>
      </c>
      <c r="J16" s="42" t="n">
        <f aca="false">SUMIFS(Tracking!$G$7:$G$206,Tracking!$A$7:$A$206,J$6,Tracking!$E$7:$E$206,$A16)+0.5*SUMIFS(Tracking!$G$7:$G$206,Tracking!$A$7:$A$206,J$6,Tracking!$F$7:$F$206,$A16)</f>
        <v>0</v>
      </c>
      <c r="K16" s="42" t="n">
        <f aca="false">SUMIFS(Tracking!$G$7:$G$206,Tracking!$A$7:$A$206,K$6,Tracking!$E$7:$E$206,$A16)+0.5*SUMIFS(Tracking!$G$7:$G$206,Tracking!$A$7:$A$206,K$6,Tracking!$F$7:$F$206,$A16)</f>
        <v>0</v>
      </c>
      <c r="L16" s="42" t="n">
        <f aca="false">SUMIFS(Tracking!$G$7:$G$206,Tracking!$A$7:$A$206,L$6,Tracking!$E$7:$E$206,$A16)+0.5*SUMIFS(Tracking!$G$7:$G$206,Tracking!$A$7:$A$206,L$6,Tracking!$F$7:$F$206,$A16)</f>
        <v>0</v>
      </c>
      <c r="M16" s="42" t="n">
        <f aca="false">SUMIFS(Tracking!$G$7:$G$206,Tracking!$A$7:$A$206,M$6,Tracking!$E$7:$E$206,$A16)+0.5*SUMIFS(Tracking!$G$7:$G$206,Tracking!$A$7:$A$206,M$6,Tracking!$F$7:$F$206,$A16)</f>
        <v>0</v>
      </c>
      <c r="N16" s="42" t="n">
        <f aca="false">SUMIFS(Tracking!$G$7:$G$206,Tracking!$A$7:$A$206,N$6,Tracking!$E$7:$E$206,$A16)+0.5*SUMIFS(Tracking!$G$7:$G$206,Tracking!$A$7:$A$206,N$6,Tracking!$F$7:$F$206,$A16)</f>
        <v>0</v>
      </c>
      <c r="O16" s="42" t="n">
        <f aca="false">SUMIFS(Tracking!$G$7:$G$206,Tracking!$A$7:$A$206,O$6,Tracking!$E$7:$E$206,$A16)+0.5*SUMIFS(Tracking!$G$7:$G$206,Tracking!$A$7:$A$206,O$6,Tracking!$F$7:$F$206,$A16)</f>
        <v>0</v>
      </c>
      <c r="P16" s="42" t="n">
        <f aca="false">SUMIFS(Tracking!$G$7:$G$206,Tracking!$A$7:$A$206,P$6,Tracking!$E$7:$E$206,$A16)+0.5*SUMIFS(Tracking!$G$7:$G$206,Tracking!$A$7:$A$206,P$6,Tracking!$F$7:$F$206,$A16)</f>
        <v>0</v>
      </c>
      <c r="Q16" s="38" t="str">
        <f aca="false">IF(AND($D16&gt;=$B16,$D16&lt;=$C16),"ok","prüfen")</f>
        <v>ok</v>
      </c>
    </row>
    <row r="19" customFormat="false" ht="15" hidden="false" customHeight="false" outlineLevel="0" collapsed="false">
      <c r="A19" s="25" t="s">
        <v>172</v>
      </c>
    </row>
    <row r="20" customFormat="false" ht="15" hidden="false" customHeight="false" outlineLevel="0" collapsed="false">
      <c r="A20" s="25" t="s">
        <v>173</v>
      </c>
    </row>
    <row r="22" customFormat="false" ht="15" hidden="false" customHeight="false" outlineLevel="0" collapsed="false">
      <c r="A22" s="15" t="s">
        <v>23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</sheetData>
  <sheetProtection sheet="true" formatCells="false" selectLockedCells="true" selectUnlockedCells="true"/>
  <conditionalFormatting sqref="D7:P16">
    <cfRule type="expression" priority="2" aboveAverage="0" equalAverage="0" bottom="0" percent="0" rank="0" text="" dxfId="0">
      <formula>AND(D7&gt;0,D7&lt;$B7)</formula>
    </cfRule>
    <cfRule type="expression" priority="3" aboveAverage="0" equalAverage="0" bottom="0" percent="0" rank="0" text="" dxfId="1">
      <formula>AND(D7&gt;0,D7&gt;$C7)</formula>
    </cfRule>
    <cfRule type="expression" priority="4" aboveAverage="0" equalAverage="0" bottom="0" percent="0" rank="0" text="" dxfId="2">
      <formula>D7&gt;0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6" min="2" style="0" width="20"/>
  </cols>
  <sheetData>
    <row r="1" customFormat="false" ht="25.5" hidden="false" customHeight="true" outlineLevel="0" collapsed="false">
      <c r="A1" s="1" t="s">
        <v>174</v>
      </c>
      <c r="B1" s="2"/>
      <c r="C1" s="2"/>
      <c r="D1" s="2"/>
      <c r="E1" s="2"/>
      <c r="F1" s="2"/>
    </row>
    <row r="2" customFormat="false" ht="15.75" hidden="false" customHeight="true" outlineLevel="0" collapsed="false">
      <c r="A2" s="3" t="s">
        <v>175</v>
      </c>
      <c r="B2" s="2"/>
      <c r="C2" s="2"/>
      <c r="D2" s="2"/>
      <c r="E2" s="2"/>
      <c r="F2" s="2"/>
    </row>
    <row r="5" customFormat="false" ht="19.5" hidden="false" customHeight="true" outlineLevel="0" collapsed="false">
      <c r="A5" s="5" t="s">
        <v>176</v>
      </c>
      <c r="B5" s="6"/>
      <c r="C5" s="6"/>
      <c r="D5" s="6"/>
      <c r="E5" s="6"/>
      <c r="F5" s="6"/>
    </row>
    <row r="6" customFormat="false" ht="27.75" hidden="false" customHeight="true" outlineLevel="0" collapsed="false">
      <c r="A6" s="43" t="s">
        <v>177</v>
      </c>
      <c r="B6" s="43"/>
      <c r="C6" s="43"/>
      <c r="D6" s="43"/>
      <c r="E6" s="43"/>
      <c r="F6" s="43"/>
    </row>
    <row r="7" customFormat="false" ht="27.75" hidden="false" customHeight="true" outlineLevel="0" collapsed="false">
      <c r="A7" s="43" t="s">
        <v>178</v>
      </c>
      <c r="B7" s="43"/>
      <c r="C7" s="43"/>
      <c r="D7" s="43"/>
      <c r="E7" s="43"/>
      <c r="F7" s="43"/>
    </row>
    <row r="8" customFormat="false" ht="27.75" hidden="false" customHeight="true" outlineLevel="0" collapsed="false">
      <c r="A8" s="43" t="s">
        <v>179</v>
      </c>
      <c r="B8" s="43"/>
      <c r="C8" s="43"/>
      <c r="D8" s="43"/>
      <c r="E8" s="43"/>
      <c r="F8" s="43"/>
    </row>
    <row r="10" customFormat="false" ht="19.5" hidden="false" customHeight="true" outlineLevel="0" collapsed="false">
      <c r="A10" s="5" t="s">
        <v>180</v>
      </c>
      <c r="B10" s="6"/>
      <c r="C10" s="6"/>
      <c r="D10" s="6"/>
      <c r="E10" s="6"/>
      <c r="F10" s="6"/>
    </row>
    <row r="11" customFormat="false" ht="27.75" hidden="false" customHeight="true" outlineLevel="0" collapsed="false">
      <c r="A11" s="43" t="s">
        <v>181</v>
      </c>
      <c r="B11" s="43"/>
      <c r="C11" s="43"/>
      <c r="D11" s="43"/>
      <c r="E11" s="43"/>
      <c r="F11" s="43"/>
    </row>
    <row r="12" customFormat="false" ht="27.75" hidden="false" customHeight="true" outlineLevel="0" collapsed="false">
      <c r="A12" s="43" t="s">
        <v>182</v>
      </c>
      <c r="B12" s="43"/>
      <c r="C12" s="43"/>
      <c r="D12" s="43"/>
      <c r="E12" s="43"/>
      <c r="F12" s="43"/>
    </row>
    <row r="13" customFormat="false" ht="27.75" hidden="false" customHeight="true" outlineLevel="0" collapsed="false">
      <c r="A13" s="43" t="s">
        <v>183</v>
      </c>
      <c r="B13" s="43"/>
      <c r="C13" s="43"/>
      <c r="D13" s="43"/>
      <c r="E13" s="43"/>
      <c r="F13" s="43"/>
    </row>
    <row r="15" customFormat="false" ht="19.5" hidden="false" customHeight="true" outlineLevel="0" collapsed="false">
      <c r="A15" s="5" t="s">
        <v>184</v>
      </c>
      <c r="B15" s="6"/>
      <c r="C15" s="6"/>
      <c r="D15" s="6"/>
      <c r="E15" s="6"/>
      <c r="F15" s="6"/>
    </row>
    <row r="16" customFormat="false" ht="27.75" hidden="false" customHeight="true" outlineLevel="0" collapsed="false">
      <c r="A16" s="43" t="s">
        <v>185</v>
      </c>
      <c r="B16" s="43"/>
      <c r="C16" s="43"/>
      <c r="D16" s="43"/>
      <c r="E16" s="43"/>
      <c r="F16" s="43"/>
    </row>
    <row r="17" customFormat="false" ht="27.75" hidden="false" customHeight="true" outlineLevel="0" collapsed="false">
      <c r="A17" s="43" t="s">
        <v>186</v>
      </c>
      <c r="B17" s="43"/>
      <c r="C17" s="43"/>
      <c r="D17" s="43"/>
      <c r="E17" s="43"/>
      <c r="F17" s="43"/>
    </row>
    <row r="18" customFormat="false" ht="27.75" hidden="false" customHeight="true" outlineLevel="0" collapsed="false">
      <c r="A18" s="43" t="s">
        <v>187</v>
      </c>
      <c r="B18" s="43"/>
      <c r="C18" s="43"/>
      <c r="D18" s="43"/>
      <c r="E18" s="43"/>
      <c r="F18" s="43"/>
    </row>
    <row r="20" customFormat="false" ht="19.5" hidden="false" customHeight="true" outlineLevel="0" collapsed="false">
      <c r="A20" s="5" t="s">
        <v>188</v>
      </c>
      <c r="B20" s="6"/>
      <c r="C20" s="6"/>
      <c r="D20" s="6"/>
      <c r="E20" s="6"/>
      <c r="F20" s="6"/>
    </row>
    <row r="21" customFormat="false" ht="27.75" hidden="false" customHeight="true" outlineLevel="0" collapsed="false">
      <c r="A21" s="43" t="s">
        <v>189</v>
      </c>
      <c r="B21" s="43"/>
      <c r="C21" s="43"/>
      <c r="D21" s="43"/>
      <c r="E21" s="43"/>
      <c r="F21" s="43"/>
    </row>
    <row r="22" customFormat="false" ht="27.75" hidden="false" customHeight="true" outlineLevel="0" collapsed="false">
      <c r="A22" s="43" t="s">
        <v>190</v>
      </c>
      <c r="B22" s="43"/>
      <c r="C22" s="43"/>
      <c r="D22" s="43"/>
      <c r="E22" s="43"/>
      <c r="F22" s="43"/>
    </row>
    <row r="23" customFormat="false" ht="27.75" hidden="false" customHeight="true" outlineLevel="0" collapsed="false">
      <c r="A23" s="43" t="s">
        <v>191</v>
      </c>
      <c r="B23" s="43"/>
      <c r="C23" s="43"/>
      <c r="D23" s="43"/>
      <c r="E23" s="43"/>
      <c r="F23" s="43"/>
    </row>
    <row r="26" customFormat="false" ht="15" hidden="false" customHeight="false" outlineLevel="0" collapsed="false">
      <c r="A26" s="15" t="s">
        <v>23</v>
      </c>
      <c r="B26" s="16"/>
      <c r="C26" s="16"/>
      <c r="D26" s="16"/>
      <c r="E26" s="16"/>
      <c r="F26" s="16"/>
    </row>
  </sheetData>
  <sheetProtection sheet="true" formatCells="false" selectLockedCells="true" selectUnlockedCells="true"/>
  <mergeCells count="12">
    <mergeCell ref="A6:F6"/>
    <mergeCell ref="A7:F7"/>
    <mergeCell ref="A8:F8"/>
    <mergeCell ref="A11:F11"/>
    <mergeCell ref="A12:F12"/>
    <mergeCell ref="A13:F13"/>
    <mergeCell ref="A16:F16"/>
    <mergeCell ref="A17:F17"/>
    <mergeCell ref="A18:F18"/>
    <mergeCell ref="A21:F21"/>
    <mergeCell ref="A22:F22"/>
    <mergeCell ref="A23:F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6"/>
  </cols>
  <sheetData>
    <row r="1" customFormat="false" ht="25.5" hidden="false" customHeight="true" outlineLevel="0" collapsed="false">
      <c r="A1" s="1" t="s">
        <v>192</v>
      </c>
      <c r="B1" s="2"/>
      <c r="C1" s="2"/>
      <c r="D1" s="2"/>
      <c r="E1" s="2"/>
      <c r="F1" s="2"/>
    </row>
    <row r="2" customFormat="false" ht="15.75" hidden="false" customHeight="true" outlineLevel="0" collapsed="false">
      <c r="A2" s="3" t="s">
        <v>193</v>
      </c>
      <c r="B2" s="2"/>
      <c r="C2" s="2"/>
      <c r="D2" s="2"/>
      <c r="E2" s="2"/>
      <c r="F2" s="2"/>
    </row>
    <row r="5" customFormat="false" ht="15" hidden="false" customHeight="false" outlineLevel="0" collapsed="false">
      <c r="A5" s="44" t="s">
        <v>194</v>
      </c>
    </row>
    <row r="7" customFormat="false" ht="15" hidden="false" customHeight="false" outlineLevel="0" collapsed="false">
      <c r="A7" s="45" t="s">
        <v>195</v>
      </c>
    </row>
    <row r="8" customFormat="false" ht="15" hidden="false" customHeight="false" outlineLevel="0" collapsed="false">
      <c r="A8" s="44" t="s">
        <v>196</v>
      </c>
    </row>
    <row r="9" customFormat="false" ht="15" hidden="false" customHeight="false" outlineLevel="0" collapsed="false">
      <c r="A9" s="44" t="s">
        <v>197</v>
      </c>
    </row>
    <row r="10" customFormat="false" ht="15" hidden="false" customHeight="false" outlineLevel="0" collapsed="false">
      <c r="A10" s="44" t="s">
        <v>198</v>
      </c>
    </row>
    <row r="11" customFormat="false" ht="15" hidden="false" customHeight="false" outlineLevel="0" collapsed="false">
      <c r="A11" s="44" t="s">
        <v>199</v>
      </c>
    </row>
    <row r="12" customFormat="false" ht="15" hidden="false" customHeight="false" outlineLevel="0" collapsed="false">
      <c r="A12" s="44" t="s">
        <v>200</v>
      </c>
    </row>
    <row r="14" customFormat="false" ht="15" hidden="false" customHeight="false" outlineLevel="0" collapsed="false">
      <c r="A14" s="46" t="s">
        <v>201</v>
      </c>
    </row>
    <row r="15" customFormat="false" ht="17.35" hidden="false" customHeight="false" outlineLevel="0" collapsed="false">
      <c r="A15" s="47" t="s">
        <v>202</v>
      </c>
    </row>
    <row r="17" customFormat="false" ht="15" hidden="false" customHeight="false" outlineLevel="0" collapsed="false">
      <c r="A17" s="48" t="s">
        <v>203</v>
      </c>
    </row>
    <row r="19" customFormat="false" ht="15" hidden="false" customHeight="false" outlineLevel="0" collapsed="false">
      <c r="A19" s="15" t="s">
        <v>23</v>
      </c>
      <c r="B19" s="16"/>
      <c r="C19" s="16"/>
      <c r="D19" s="16"/>
      <c r="E19" s="16"/>
      <c r="F19" s="16"/>
    </row>
  </sheetData>
  <sheetProtection sheet="true" formatCells="false" selectLockedCells="true" selectUnlockedCells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2026-08-07T10:55:50Z</dcterms:created>
  <dc:creator>openpyxl</dc:creator>
  <dc:description/>
  <dc:language>en-US</dc:language>
  <cp:lastModifiedBy/>
  <dcterms:modified xsi:type="dcterms:W3CDTF">2026-08-07T10:55:50Z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